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codeName="EsteLivro"/>
  <mc:AlternateContent xmlns:mc="http://schemas.openxmlformats.org/markup-compatibility/2006">
    <mc:Choice Requires="x15">
      <x15ac:absPath xmlns:x15ac="http://schemas.microsoft.com/office/spreadsheetml/2010/11/ac" url="C:\Users\Atusa\Documents\APTA 2024\Folhas de Cálculo APTA 2024\"/>
    </mc:Choice>
  </mc:AlternateContent>
  <xr:revisionPtr revIDLastSave="0" documentId="13_ncr:1_{95431F3F-77E0-40F3-867A-039889367AFA}" xr6:coauthVersionLast="47" xr6:coauthVersionMax="47" xr10:uidLastSave="{00000000-0000-0000-0000-000000000000}"/>
  <workbookProtection workbookPassword="E0FC" lockStructure="1"/>
  <bookViews>
    <workbookView xWindow="-103" yWindow="-103" windowWidth="33120" windowHeight="18120" tabRatio="913" xr2:uid="{00000000-000D-0000-FFFF-FFFF00000000}"/>
  </bookViews>
  <sheets>
    <sheet name="Cálculo-Instalação Colectiva-MP" sheetId="22" r:id="rId1"/>
    <sheet name="Cálculo-Instalação Interior-BP" sheetId="23" r:id="rId2"/>
    <sheet name="Quadros 0 , 1 , 2 , 3 e 4" sheetId="20" r:id="rId3"/>
    <sheet name="Instruções" sheetId="27" r:id="rId4"/>
    <sheet name="Procedimento-MP" sheetId="26" r:id="rId5"/>
    <sheet name="Procedimento-BP" sheetId="25" r:id="rId6"/>
    <sheet name="Conv. Pressões" sheetId="28" r:id="rId7"/>
    <sheet name="Quadro 2 Ordenado" sheetId="24" state="hidden" r:id="rId8"/>
    <sheet name="Quadro 3" sheetId="2" state="hidden" r:id="rId9"/>
  </sheets>
  <definedNames>
    <definedName name="_xlnm.Print_Area" localSheetId="0">'Cálculo-Instalação Colectiva-MP'!$B$1:$AR$59</definedName>
    <definedName name="_xlnm.Print_Area" localSheetId="1">'Cálculo-Instalação Interior-BP'!$A$1:$AV$73</definedName>
    <definedName name="_xlnm.Print_Area" localSheetId="3">Instruções!$A$1:$W$236</definedName>
    <definedName name="_xlnm.Print_Area" localSheetId="5">'Procedimento-BP'!$A$1:$O$59</definedName>
    <definedName name="_xlnm.Print_Area" localSheetId="4">'Procedimento-MP'!$A$1:$O$59</definedName>
    <definedName name="_xlnm.Print_Area" localSheetId="2">'Quadros 0 , 1 , 2 , 3 e 4'!$A$1:$P$87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28" l="1"/>
  <c r="P48" i="23"/>
  <c r="P49" i="23"/>
  <c r="P50" i="23"/>
  <c r="P51" i="23"/>
  <c r="P52" i="23"/>
  <c r="P53" i="23"/>
  <c r="P54" i="23"/>
  <c r="P55" i="23"/>
  <c r="P56" i="23"/>
  <c r="P47" i="23"/>
  <c r="P29" i="23"/>
  <c r="P30" i="23"/>
  <c r="P31" i="23"/>
  <c r="P32" i="23"/>
  <c r="P33" i="23"/>
  <c r="P34" i="23"/>
  <c r="P35" i="23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AN2" i="23"/>
  <c r="DB33" i="22"/>
  <c r="N40" i="22"/>
  <c r="N41" i="22"/>
  <c r="N44" i="22"/>
  <c r="N45" i="22"/>
  <c r="N47" i="22"/>
  <c r="P47" i="22" s="1"/>
  <c r="N48" i="22"/>
  <c r="P48" i="22" s="1"/>
  <c r="N49" i="22"/>
  <c r="P49" i="22" s="1"/>
  <c r="S49" i="22" s="1"/>
  <c r="D19" i="22"/>
  <c r="N34" i="22" s="1"/>
  <c r="L19" i="22"/>
  <c r="J48" i="23"/>
  <c r="L48" i="23" s="1"/>
  <c r="L6" i="22"/>
  <c r="AW6" i="22" s="1"/>
  <c r="AY8" i="23" s="1"/>
  <c r="AK9" i="22"/>
  <c r="AL9" i="23" s="1"/>
  <c r="AF9" i="23" s="1"/>
  <c r="AE9" i="23" s="1"/>
  <c r="AK10" i="22"/>
  <c r="AL10" i="23" s="1"/>
  <c r="AF10" i="23" s="1"/>
  <c r="AE10" i="23" s="1"/>
  <c r="AK11" i="22"/>
  <c r="AL11" i="23" s="1"/>
  <c r="AF11" i="23" s="1"/>
  <c r="AE11" i="23" s="1"/>
  <c r="AK12" i="22"/>
  <c r="AL12" i="23" s="1"/>
  <c r="AF12" i="23" s="1"/>
  <c r="AE12" i="23" s="1"/>
  <c r="AK13" i="22"/>
  <c r="L7" i="22"/>
  <c r="N7" i="23" s="1"/>
  <c r="L8" i="22"/>
  <c r="N8" i="23" s="1"/>
  <c r="F48" i="23"/>
  <c r="I48" i="23" s="1"/>
  <c r="CZ47" i="23"/>
  <c r="BW47" i="23" s="1"/>
  <c r="DB47" i="23"/>
  <c r="DD47" i="23" s="1"/>
  <c r="CZ48" i="23"/>
  <c r="BW48" i="23" s="1"/>
  <c r="DB48" i="23"/>
  <c r="BX48" i="23" s="1"/>
  <c r="CZ49" i="23"/>
  <c r="DA49" i="23" s="1"/>
  <c r="DB49" i="23"/>
  <c r="DG49" i="23" s="1"/>
  <c r="CZ50" i="23"/>
  <c r="DA50" i="23" s="1"/>
  <c r="DB50" i="23"/>
  <c r="DG50" i="23" s="1"/>
  <c r="CZ51" i="23"/>
  <c r="DB51" i="23"/>
  <c r="DH51" i="23" s="1"/>
  <c r="CZ52" i="23"/>
  <c r="DA52" i="23" s="1"/>
  <c r="DB52" i="23"/>
  <c r="DF52" i="23" s="1"/>
  <c r="CZ53" i="23"/>
  <c r="DA53" i="23" s="1"/>
  <c r="DB53" i="23"/>
  <c r="DG53" i="23" s="1"/>
  <c r="CZ54" i="23"/>
  <c r="DA54" i="23" s="1"/>
  <c r="DB54" i="23"/>
  <c r="CZ55" i="23"/>
  <c r="BW55" i="23" s="1"/>
  <c r="BV55" i="23" s="1"/>
  <c r="BM55" i="23" s="1"/>
  <c r="BJ55" i="23" s="1"/>
  <c r="DB55" i="23"/>
  <c r="DD55" i="23" s="1"/>
  <c r="CZ56" i="23"/>
  <c r="DA56" i="23" s="1"/>
  <c r="DB56" i="23"/>
  <c r="DG56" i="23" s="1"/>
  <c r="J49" i="23"/>
  <c r="L49" i="23" s="1"/>
  <c r="F49" i="23"/>
  <c r="I49" i="23" s="1"/>
  <c r="I50" i="23"/>
  <c r="K50" i="23" s="1"/>
  <c r="J50" i="23"/>
  <c r="L50" i="23" s="1"/>
  <c r="F50" i="23"/>
  <c r="I51" i="23"/>
  <c r="K51" i="23" s="1"/>
  <c r="J51" i="23"/>
  <c r="L51" i="23" s="1"/>
  <c r="F51" i="23"/>
  <c r="I52" i="23"/>
  <c r="K52" i="23" s="1"/>
  <c r="J52" i="23"/>
  <c r="L52" i="23" s="1"/>
  <c r="F52" i="23"/>
  <c r="I53" i="23"/>
  <c r="K53" i="23" s="1"/>
  <c r="J53" i="23"/>
  <c r="L53" i="23" s="1"/>
  <c r="F53" i="23"/>
  <c r="I54" i="23"/>
  <c r="K54" i="23" s="1"/>
  <c r="J54" i="23"/>
  <c r="L54" i="23" s="1"/>
  <c r="F54" i="23"/>
  <c r="I55" i="23"/>
  <c r="K55" i="23" s="1"/>
  <c r="J55" i="23"/>
  <c r="L55" i="23" s="1"/>
  <c r="F55" i="23"/>
  <c r="I56" i="23"/>
  <c r="K56" i="23" s="1"/>
  <c r="J56" i="23"/>
  <c r="L56" i="23" s="1"/>
  <c r="F56" i="23"/>
  <c r="I47" i="23"/>
  <c r="K47" i="23" s="1"/>
  <c r="J47" i="23"/>
  <c r="L47" i="23" s="1"/>
  <c r="J27" i="23"/>
  <c r="L27" i="23" s="1"/>
  <c r="F27" i="23"/>
  <c r="I27" i="23" s="1"/>
  <c r="CZ26" i="23"/>
  <c r="DA26" i="23" s="1"/>
  <c r="DB26" i="23"/>
  <c r="CZ27" i="23"/>
  <c r="DA27" i="23" s="1"/>
  <c r="DB27" i="23"/>
  <c r="BX27" i="23" s="1"/>
  <c r="CZ28" i="23"/>
  <c r="BW28" i="23" s="1"/>
  <c r="DB28" i="23"/>
  <c r="DC28" i="23" s="1"/>
  <c r="CZ29" i="23"/>
  <c r="BW29" i="23" s="1"/>
  <c r="DB29" i="23"/>
  <c r="DD29" i="23" s="1"/>
  <c r="CZ30" i="23"/>
  <c r="DA30" i="23" s="1"/>
  <c r="DB30" i="23"/>
  <c r="DH30" i="23" s="1"/>
  <c r="CZ31" i="23"/>
  <c r="BW31" i="23" s="1"/>
  <c r="BV31" i="23" s="1"/>
  <c r="BM31" i="23" s="1"/>
  <c r="BJ31" i="23" s="1"/>
  <c r="DB31" i="23"/>
  <c r="DF31" i="23" s="1"/>
  <c r="CZ32" i="23"/>
  <c r="DA32" i="23" s="1"/>
  <c r="DB32" i="23"/>
  <c r="DF32" i="23" s="1"/>
  <c r="CZ33" i="23"/>
  <c r="DA33" i="23" s="1"/>
  <c r="DB33" i="23"/>
  <c r="DF33" i="23" s="1"/>
  <c r="CZ34" i="23"/>
  <c r="BW34" i="23" s="1"/>
  <c r="BV34" i="23" s="1"/>
  <c r="BM34" i="23" s="1"/>
  <c r="BJ34" i="23" s="1"/>
  <c r="DB34" i="23"/>
  <c r="DF34" i="23" s="1"/>
  <c r="CZ35" i="23"/>
  <c r="DA35" i="23" s="1"/>
  <c r="DB35" i="23"/>
  <c r="DH35" i="23" s="1"/>
  <c r="J28" i="23"/>
  <c r="L28" i="23" s="1"/>
  <c r="F28" i="23"/>
  <c r="I28" i="23" s="1"/>
  <c r="I29" i="23"/>
  <c r="K29" i="23" s="1"/>
  <c r="J29" i="23"/>
  <c r="L29" i="23" s="1"/>
  <c r="F29" i="23"/>
  <c r="I30" i="23"/>
  <c r="K30" i="23" s="1"/>
  <c r="J30" i="23"/>
  <c r="L30" i="23" s="1"/>
  <c r="F30" i="23"/>
  <c r="I31" i="23"/>
  <c r="K31" i="23" s="1"/>
  <c r="J31" i="23"/>
  <c r="L31" i="23" s="1"/>
  <c r="F31" i="23"/>
  <c r="I32" i="23"/>
  <c r="K32" i="23" s="1"/>
  <c r="J32" i="23"/>
  <c r="L32" i="23" s="1"/>
  <c r="F32" i="23"/>
  <c r="I33" i="23"/>
  <c r="K33" i="23" s="1"/>
  <c r="J33" i="23"/>
  <c r="L33" i="23" s="1"/>
  <c r="F33" i="23"/>
  <c r="I34" i="23"/>
  <c r="K34" i="23" s="1"/>
  <c r="J34" i="23"/>
  <c r="L34" i="23" s="1"/>
  <c r="F34" i="23"/>
  <c r="I35" i="23"/>
  <c r="K35" i="23" s="1"/>
  <c r="J35" i="23"/>
  <c r="L35" i="23" s="1"/>
  <c r="F35" i="23"/>
  <c r="I26" i="23"/>
  <c r="K26" i="23" s="1"/>
  <c r="J26" i="23"/>
  <c r="L26" i="23" s="1"/>
  <c r="O5" i="23"/>
  <c r="AW12" i="22"/>
  <c r="AY12" i="23" s="1"/>
  <c r="N11" i="23" s="1"/>
  <c r="AI24" i="23" s="1"/>
  <c r="M5" i="23"/>
  <c r="B48" i="23"/>
  <c r="C48" i="23" s="1"/>
  <c r="B49" i="23"/>
  <c r="C49" i="23" s="1"/>
  <c r="B50" i="23"/>
  <c r="C50" i="23" s="1"/>
  <c r="B51" i="23"/>
  <c r="C51" i="23" s="1"/>
  <c r="B52" i="23"/>
  <c r="C52" i="23" s="1"/>
  <c r="B53" i="23"/>
  <c r="C53" i="23" s="1"/>
  <c r="B54" i="23"/>
  <c r="C54" i="23" s="1"/>
  <c r="B55" i="23"/>
  <c r="C55" i="23" s="1"/>
  <c r="B56" i="23"/>
  <c r="C56" i="23" s="1"/>
  <c r="B47" i="23"/>
  <c r="C47" i="23" s="1"/>
  <c r="A56" i="23"/>
  <c r="A55" i="23"/>
  <c r="A54" i="23"/>
  <c r="A53" i="23"/>
  <c r="A52" i="23"/>
  <c r="A51" i="23"/>
  <c r="A50" i="23"/>
  <c r="A49" i="23"/>
  <c r="A48" i="23"/>
  <c r="A47" i="23"/>
  <c r="A35" i="23"/>
  <c r="A34" i="23"/>
  <c r="A33" i="23"/>
  <c r="A32" i="23"/>
  <c r="A31" i="23"/>
  <c r="A30" i="23"/>
  <c r="A29" i="23"/>
  <c r="A28" i="23"/>
  <c r="A27" i="23"/>
  <c r="A26" i="23"/>
  <c r="A30" i="22"/>
  <c r="A31" i="22"/>
  <c r="A32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A9" i="22"/>
  <c r="AB9" i="23" s="1"/>
  <c r="V9" i="23" s="1"/>
  <c r="T9" i="23" s="1"/>
  <c r="AA10" i="22"/>
  <c r="AA11" i="22"/>
  <c r="AB11" i="23" s="1"/>
  <c r="V11" i="23" s="1"/>
  <c r="T11" i="23" s="1"/>
  <c r="AA12" i="22"/>
  <c r="AB12" i="23" s="1"/>
  <c r="V12" i="23" s="1"/>
  <c r="T12" i="23" s="1"/>
  <c r="AA13" i="22"/>
  <c r="S13" i="22" s="1"/>
  <c r="AV56" i="22"/>
  <c r="AV57" i="22"/>
  <c r="AV58" i="22"/>
  <c r="AV59" i="22"/>
  <c r="AV60" i="22"/>
  <c r="AV61" i="22"/>
  <c r="AV62" i="22"/>
  <c r="AV63" i="22"/>
  <c r="AV64" i="22"/>
  <c r="AV65" i="22"/>
  <c r="AV66" i="22"/>
  <c r="AV67" i="22"/>
  <c r="AV68" i="22"/>
  <c r="AV69" i="22"/>
  <c r="AV70" i="22"/>
  <c r="AV71" i="22"/>
  <c r="AV72" i="22"/>
  <c r="AV73" i="22"/>
  <c r="AV74" i="22"/>
  <c r="AV75" i="22"/>
  <c r="B26" i="23"/>
  <c r="C26" i="23" s="1"/>
  <c r="B27" i="23"/>
  <c r="B28" i="23"/>
  <c r="B29" i="23"/>
  <c r="C29" i="23" s="1"/>
  <c r="B30" i="23"/>
  <c r="C30" i="23" s="1"/>
  <c r="B31" i="23"/>
  <c r="C31" i="23" s="1"/>
  <c r="B32" i="23"/>
  <c r="C32" i="23" s="1"/>
  <c r="B33" i="23"/>
  <c r="B34" i="23"/>
  <c r="C34" i="23" s="1"/>
  <c r="B35" i="23"/>
  <c r="C35" i="23" s="1"/>
  <c r="DB30" i="22"/>
  <c r="DC30" i="22"/>
  <c r="BX30" i="22" s="1"/>
  <c r="DB31" i="22"/>
  <c r="DC31" i="22"/>
  <c r="DB32" i="22"/>
  <c r="DC32" i="22"/>
  <c r="BX32" i="22" s="1"/>
  <c r="DC33" i="22"/>
  <c r="DF33" i="22" s="1"/>
  <c r="DB34" i="22"/>
  <c r="DC34" i="22"/>
  <c r="DH34" i="22" s="1"/>
  <c r="DB35" i="22"/>
  <c r="DC35" i="22"/>
  <c r="DI35" i="22" s="1"/>
  <c r="DB36" i="22"/>
  <c r="DC36" i="22"/>
  <c r="DH36" i="22" s="1"/>
  <c r="DB37" i="22"/>
  <c r="DC37" i="22"/>
  <c r="DJ37" i="22" s="1"/>
  <c r="DB38" i="22"/>
  <c r="DC38" i="22"/>
  <c r="DD38" i="22" s="1"/>
  <c r="DB39" i="22"/>
  <c r="DC39" i="22"/>
  <c r="DH39" i="22" s="1"/>
  <c r="DB40" i="22"/>
  <c r="DC40" i="22"/>
  <c r="DD40" i="22" s="1"/>
  <c r="DB41" i="22"/>
  <c r="DC41" i="22"/>
  <c r="DH41" i="22" s="1"/>
  <c r="DB42" i="22"/>
  <c r="DC42" i="22"/>
  <c r="DD42" i="22" s="1"/>
  <c r="DB43" i="22"/>
  <c r="DC43" i="22"/>
  <c r="DJ43" i="22" s="1"/>
  <c r="DB44" i="22"/>
  <c r="DC44" i="22"/>
  <c r="DB45" i="22"/>
  <c r="DC45" i="22"/>
  <c r="DE45" i="22" s="1"/>
  <c r="DB46" i="22"/>
  <c r="DC46" i="22"/>
  <c r="DH46" i="22" s="1"/>
  <c r="DB47" i="22"/>
  <c r="DC47" i="22"/>
  <c r="DJ47" i="22" s="1"/>
  <c r="DB48" i="22"/>
  <c r="DC48" i="22"/>
  <c r="DB49" i="22"/>
  <c r="DC49" i="22"/>
  <c r="DD49" i="22" s="1"/>
  <c r="DA30" i="22"/>
  <c r="BW30" i="22" s="1"/>
  <c r="DA31" i="22"/>
  <c r="BW31" i="22" s="1"/>
  <c r="DA32" i="22"/>
  <c r="BW32" i="22" s="1"/>
  <c r="DA33" i="22"/>
  <c r="BW33" i="22" s="1"/>
  <c r="DA34" i="22"/>
  <c r="BW34" i="22" s="1"/>
  <c r="DA35" i="22"/>
  <c r="BW35" i="22" s="1"/>
  <c r="DA36" i="22"/>
  <c r="BW36" i="22" s="1"/>
  <c r="DA37" i="22"/>
  <c r="BW37" i="22" s="1"/>
  <c r="DA38" i="22"/>
  <c r="BW38" i="22" s="1"/>
  <c r="DA39" i="22"/>
  <c r="BW39" i="22" s="1"/>
  <c r="DA40" i="22"/>
  <c r="BW40" i="22" s="1"/>
  <c r="DA41" i="22"/>
  <c r="BW41" i="22" s="1"/>
  <c r="DA42" i="22"/>
  <c r="BW42" i="22" s="1"/>
  <c r="DA43" i="22"/>
  <c r="BW43" i="22" s="1"/>
  <c r="DA44" i="22"/>
  <c r="BW44" i="22" s="1"/>
  <c r="DA45" i="22"/>
  <c r="BW45" i="22" s="1"/>
  <c r="DA46" i="22"/>
  <c r="BW46" i="22" s="1"/>
  <c r="DA47" i="22"/>
  <c r="BW47" i="22" s="1"/>
  <c r="BV47" i="22" s="1"/>
  <c r="DA48" i="22"/>
  <c r="BW48" i="22" s="1"/>
  <c r="DA49" i="22"/>
  <c r="BW49" i="22" s="1"/>
  <c r="AV47" i="22"/>
  <c r="AV48" i="22"/>
  <c r="AV49" i="22"/>
  <c r="L15" i="22"/>
  <c r="AM45" i="23"/>
  <c r="AL45" i="23"/>
  <c r="AH45" i="23"/>
  <c r="AC45" i="23"/>
  <c r="AD45" i="23"/>
  <c r="AE45" i="23"/>
  <c r="AF45" i="23"/>
  <c r="AG45" i="23"/>
  <c r="AB45" i="23"/>
  <c r="Y45" i="23"/>
  <c r="V45" i="23"/>
  <c r="N45" i="23"/>
  <c r="O45" i="23"/>
  <c r="P45" i="23"/>
  <c r="Q45" i="23"/>
  <c r="M45" i="23"/>
  <c r="G45" i="23"/>
  <c r="D45" i="23"/>
  <c r="L13" i="22"/>
  <c r="N13" i="23" s="1"/>
  <c r="AY13" i="23"/>
  <c r="M16" i="23"/>
  <c r="H16" i="23" s="1"/>
  <c r="M15" i="23"/>
  <c r="H15" i="23" s="1"/>
  <c r="AW16" i="22"/>
  <c r="AY20" i="23" s="1"/>
  <c r="M5" i="22"/>
  <c r="L9" i="22"/>
  <c r="N9" i="23" s="1"/>
  <c r="L17" i="22"/>
  <c r="N15" i="23" s="1"/>
  <c r="L18" i="22"/>
  <c r="N16" i="23" s="1"/>
  <c r="M6" i="22"/>
  <c r="O6" i="23" s="1"/>
  <c r="M7" i="22"/>
  <c r="O7" i="23" s="1"/>
  <c r="M8" i="22"/>
  <c r="O8" i="23" s="1"/>
  <c r="M9" i="22"/>
  <c r="O9" i="23" s="1"/>
  <c r="L12" i="22"/>
  <c r="M12" i="22" s="1"/>
  <c r="O12" i="23" s="1"/>
  <c r="M7" i="23"/>
  <c r="M8" i="23"/>
  <c r="M9" i="23"/>
  <c r="M13" i="23"/>
  <c r="M14" i="23"/>
  <c r="M6" i="23"/>
  <c r="H14" i="23"/>
  <c r="H11" i="23"/>
  <c r="AW13" i="22"/>
  <c r="AY32" i="22"/>
  <c r="AZ32" i="22"/>
  <c r="AY33" i="22"/>
  <c r="AZ33" i="22"/>
  <c r="AY34" i="22"/>
  <c r="AZ34" i="22"/>
  <c r="AY35" i="22"/>
  <c r="AZ35" i="22"/>
  <c r="AY36" i="22"/>
  <c r="AZ36" i="22"/>
  <c r="AY37" i="22"/>
  <c r="AZ37" i="22"/>
  <c r="AX38" i="22"/>
  <c r="AZ38" i="22"/>
  <c r="AX39" i="22"/>
  <c r="AZ39" i="22"/>
  <c r="AX40" i="22"/>
  <c r="AZ40" i="22"/>
  <c r="AX41" i="22"/>
  <c r="AZ41" i="22"/>
  <c r="AX42" i="22"/>
  <c r="AZ42" i="22"/>
  <c r="AX43" i="22"/>
  <c r="AZ43" i="22"/>
  <c r="AY31" i="22"/>
  <c r="AZ31" i="22"/>
  <c r="AY44" i="22"/>
  <c r="AZ44" i="22"/>
  <c r="AX45" i="22"/>
  <c r="AY45" i="22"/>
  <c r="AX46" i="22"/>
  <c r="AY46" i="22"/>
  <c r="D30" i="22"/>
  <c r="E30" i="22" s="1"/>
  <c r="D31" i="22"/>
  <c r="D32" i="22"/>
  <c r="D33" i="22"/>
  <c r="D34" i="22"/>
  <c r="D35" i="22"/>
  <c r="D36" i="22"/>
  <c r="D37" i="22"/>
  <c r="D38" i="22"/>
  <c r="D39" i="22"/>
  <c r="E39" i="22" s="1"/>
  <c r="D40" i="22"/>
  <c r="D41" i="22"/>
  <c r="D42" i="22"/>
  <c r="D43" i="22"/>
  <c r="D44" i="22"/>
  <c r="D45" i="22"/>
  <c r="D46" i="22"/>
  <c r="D47" i="22"/>
  <c r="E47" i="22" s="1"/>
  <c r="D48" i="22"/>
  <c r="E48" i="22" s="1"/>
  <c r="D49" i="22"/>
  <c r="E49" i="22" s="1"/>
  <c r="L16" i="22"/>
  <c r="BA48" i="23"/>
  <c r="BA49" i="23"/>
  <c r="BA27" i="23"/>
  <c r="BA28" i="23"/>
  <c r="AH25" i="23"/>
  <c r="AJ29" i="22"/>
  <c r="AF29" i="22"/>
  <c r="AB19" i="22"/>
  <c r="O39" i="23"/>
  <c r="O60" i="23"/>
  <c r="N12" i="23"/>
  <c r="AN24" i="23" s="1"/>
  <c r="J11" i="22"/>
  <c r="J14" i="22"/>
  <c r="H10" i="23"/>
  <c r="AG25" i="23"/>
  <c r="AF25" i="23"/>
  <c r="AE25" i="23"/>
  <c r="AD25" i="23"/>
  <c r="AC25" i="23"/>
  <c r="AB25" i="23"/>
  <c r="J10" i="22"/>
  <c r="AI29" i="22"/>
  <c r="AH29" i="22"/>
  <c r="AG29" i="22"/>
  <c r="AD29" i="22"/>
  <c r="AC29" i="22"/>
  <c r="AY22" i="23"/>
  <c r="AY21" i="23"/>
  <c r="AY43" i="23"/>
  <c r="E26" i="28"/>
  <c r="F28" i="28"/>
  <c r="E28" i="28"/>
  <c r="E27" i="28"/>
  <c r="BF72" i="22"/>
  <c r="BF71" i="22"/>
  <c r="BF70" i="22"/>
  <c r="BF69" i="22"/>
  <c r="BF68" i="22"/>
  <c r="BF67" i="22"/>
  <c r="BF66" i="22"/>
  <c r="BF65" i="22"/>
  <c r="BF64" i="22"/>
  <c r="BF63" i="22"/>
  <c r="BF62" i="22"/>
  <c r="BF61" i="22"/>
  <c r="BF60" i="22"/>
  <c r="BF59" i="22"/>
  <c r="BF58" i="22"/>
  <c r="BF57" i="22"/>
  <c r="BF56" i="22"/>
  <c r="BF75" i="22"/>
  <c r="BF74" i="22"/>
  <c r="BF73" i="22"/>
  <c r="I29" i="28"/>
  <c r="H29" i="28"/>
  <c r="G29" i="28"/>
  <c r="F29" i="28"/>
  <c r="E29" i="28"/>
  <c r="J28" i="28"/>
  <c r="H28" i="28"/>
  <c r="G28" i="28"/>
  <c r="J27" i="28"/>
  <c r="G27" i="28"/>
  <c r="F27" i="28"/>
  <c r="C27" i="28"/>
  <c r="J26" i="28"/>
  <c r="I26" i="28"/>
  <c r="H26" i="28"/>
  <c r="F26" i="28"/>
  <c r="J25" i="28"/>
  <c r="I25" i="28"/>
  <c r="H25" i="28"/>
  <c r="G25" i="28"/>
  <c r="E25" i="28"/>
  <c r="J24" i="28"/>
  <c r="I24" i="28"/>
  <c r="H24" i="28"/>
  <c r="G24" i="28"/>
  <c r="F24" i="28"/>
  <c r="H23" i="28"/>
  <c r="U54" i="22"/>
  <c r="U53" i="22"/>
  <c r="U52" i="22"/>
  <c r="AZ26" i="23"/>
  <c r="BA26" i="23"/>
  <c r="AZ47" i="23"/>
  <c r="BA47" i="23"/>
  <c r="AZ50" i="23"/>
  <c r="BA50" i="23"/>
  <c r="AZ51" i="23"/>
  <c r="BA51" i="23"/>
  <c r="AZ52" i="23"/>
  <c r="BA52" i="23"/>
  <c r="AZ53" i="23"/>
  <c r="BA53" i="23"/>
  <c r="AZ54" i="23"/>
  <c r="BA54" i="23"/>
  <c r="AZ55" i="23"/>
  <c r="BA55" i="23"/>
  <c r="AZ56" i="23"/>
  <c r="BA56" i="23"/>
  <c r="AZ29" i="23"/>
  <c r="BA29" i="23"/>
  <c r="AZ30" i="23"/>
  <c r="BA30" i="23"/>
  <c r="AZ31" i="23"/>
  <c r="BA31" i="23"/>
  <c r="AZ32" i="23"/>
  <c r="BA32" i="23"/>
  <c r="AZ33" i="23"/>
  <c r="BA33" i="23"/>
  <c r="AZ34" i="23"/>
  <c r="BA34" i="23"/>
  <c r="AZ35" i="23"/>
  <c r="BA35" i="23"/>
  <c r="CA39" i="23"/>
  <c r="BZ39" i="23"/>
  <c r="BZ18" i="23"/>
  <c r="CA18" i="23"/>
  <c r="DC73" i="22"/>
  <c r="DH73" i="22" s="1"/>
  <c r="DC72" i="22"/>
  <c r="DF72" i="22" s="1"/>
  <c r="DC71" i="22"/>
  <c r="DF71" i="22" s="1"/>
  <c r="DC70" i="22"/>
  <c r="DJ70" i="22" s="1"/>
  <c r="DC69" i="22"/>
  <c r="DH69" i="22" s="1"/>
  <c r="DC68" i="22"/>
  <c r="DJ68" i="22" s="1"/>
  <c r="DC67" i="22"/>
  <c r="DI67" i="22" s="1"/>
  <c r="DC66" i="22"/>
  <c r="DJ66" i="22" s="1"/>
  <c r="DC65" i="22"/>
  <c r="DD65" i="22" s="1"/>
  <c r="DC64" i="22"/>
  <c r="DD64" i="22" s="1"/>
  <c r="DG64" i="22" s="1"/>
  <c r="DC63" i="22"/>
  <c r="DF63" i="22" s="1"/>
  <c r="DC62" i="22"/>
  <c r="DJ62" i="22" s="1"/>
  <c r="DC61" i="22"/>
  <c r="DD61" i="22" s="1"/>
  <c r="DC60" i="22"/>
  <c r="DC59" i="22"/>
  <c r="DJ59" i="22" s="1"/>
  <c r="DC58" i="22"/>
  <c r="DI58" i="22" s="1"/>
  <c r="DC57" i="22"/>
  <c r="DE57" i="22" s="1"/>
  <c r="DC56" i="22"/>
  <c r="DD56" i="22" s="1"/>
  <c r="DC55" i="22"/>
  <c r="DC54" i="22"/>
  <c r="DD54" i="22" s="1"/>
  <c r="AX30" i="22"/>
  <c r="V2" i="23"/>
  <c r="AC2" i="23"/>
  <c r="Y9" i="23"/>
  <c r="AG9" i="23"/>
  <c r="Y10" i="23"/>
  <c r="AG10" i="23"/>
  <c r="Y11" i="23"/>
  <c r="AG11" i="23"/>
  <c r="Y12" i="23"/>
  <c r="AG12" i="23"/>
  <c r="Y13" i="23"/>
  <c r="AG13" i="23"/>
  <c r="CY26" i="23"/>
  <c r="CY27" i="23"/>
  <c r="CY28" i="23"/>
  <c r="CY29" i="23"/>
  <c r="CY30" i="23"/>
  <c r="CY31" i="23"/>
  <c r="CY32" i="23"/>
  <c r="CY33" i="23"/>
  <c r="CY34" i="23"/>
  <c r="CY35" i="23"/>
  <c r="AH46" i="23"/>
  <c r="AM46" i="23"/>
  <c r="CY47" i="23"/>
  <c r="CY48" i="23"/>
  <c r="CY49" i="23"/>
  <c r="CY50" i="23"/>
  <c r="CY51" i="23"/>
  <c r="CY52" i="23"/>
  <c r="CY53" i="23"/>
  <c r="CY54" i="23"/>
  <c r="CY55" i="23"/>
  <c r="CY56" i="23"/>
  <c r="AI25" i="22"/>
  <c r="DB54" i="22"/>
  <c r="DB55" i="22"/>
  <c r="DB56" i="22"/>
  <c r="DB57" i="22"/>
  <c r="DB58" i="22"/>
  <c r="DB59" i="22"/>
  <c r="DB60" i="22"/>
  <c r="DB61" i="22"/>
  <c r="DB62" i="22"/>
  <c r="DB63" i="22"/>
  <c r="DB64" i="22"/>
  <c r="DB65" i="22"/>
  <c r="DB66" i="22"/>
  <c r="DB67" i="22"/>
  <c r="DB68" i="22"/>
  <c r="DB69" i="22"/>
  <c r="DB70" i="22"/>
  <c r="DB71" i="22"/>
  <c r="DB72" i="22"/>
  <c r="DB73" i="22"/>
  <c r="AZ30" i="22"/>
  <c r="CZ30" i="22"/>
  <c r="CZ31" i="22"/>
  <c r="CZ32" i="22"/>
  <c r="CZ33" i="22"/>
  <c r="CZ34" i="22"/>
  <c r="CZ35" i="22"/>
  <c r="CZ36" i="22"/>
  <c r="CZ37" i="22"/>
  <c r="CZ38" i="22"/>
  <c r="CZ39" i="22"/>
  <c r="CZ40" i="22"/>
  <c r="CZ41" i="22"/>
  <c r="CZ42" i="22"/>
  <c r="CZ43" i="22"/>
  <c r="CZ44" i="22"/>
  <c r="CZ45" i="22"/>
  <c r="CZ46" i="22"/>
  <c r="AX47" i="22"/>
  <c r="AY47" i="22"/>
  <c r="AZ47" i="22"/>
  <c r="CZ47" i="22"/>
  <c r="AX48" i="22"/>
  <c r="AY48" i="22"/>
  <c r="AZ48" i="22"/>
  <c r="CZ48" i="22"/>
  <c r="AX49" i="22"/>
  <c r="AY49" i="22"/>
  <c r="AZ49" i="22"/>
  <c r="CZ49" i="22"/>
  <c r="CZ54" i="22"/>
  <c r="DA54" i="22"/>
  <c r="CZ55" i="22"/>
  <c r="DA55" i="22"/>
  <c r="CZ56" i="22"/>
  <c r="DA56" i="22"/>
  <c r="CZ57" i="22"/>
  <c r="DA57" i="22"/>
  <c r="CZ58" i="22"/>
  <c r="DA58" i="22"/>
  <c r="CZ59" i="22"/>
  <c r="DA59" i="22"/>
  <c r="CZ60" i="22"/>
  <c r="DA60" i="22"/>
  <c r="CZ61" i="22"/>
  <c r="DA61" i="22"/>
  <c r="CZ62" i="22"/>
  <c r="DA62" i="22"/>
  <c r="CZ63" i="22"/>
  <c r="DA63" i="22"/>
  <c r="CZ64" i="22"/>
  <c r="DA64" i="22"/>
  <c r="CZ65" i="22"/>
  <c r="DA65" i="22"/>
  <c r="CZ66" i="22"/>
  <c r="DA66" i="22"/>
  <c r="CZ67" i="22"/>
  <c r="DA67" i="22"/>
  <c r="CZ68" i="22"/>
  <c r="DA68" i="22"/>
  <c r="CZ69" i="22"/>
  <c r="DA69" i="22"/>
  <c r="CZ70" i="22"/>
  <c r="DA70" i="22"/>
  <c r="CZ71" i="22"/>
  <c r="DA71" i="22"/>
  <c r="CZ72" i="22"/>
  <c r="DA72" i="22"/>
  <c r="CZ73" i="22"/>
  <c r="DA73" i="22"/>
  <c r="AY30" i="22"/>
  <c r="DH47" i="23"/>
  <c r="BX50" i="23"/>
  <c r="BX34" i="23"/>
  <c r="DH29" i="23"/>
  <c r="AL13" i="23"/>
  <c r="AF13" i="23" s="1"/>
  <c r="AE13" i="23" s="1"/>
  <c r="AG13" i="22"/>
  <c r="BX39" i="22"/>
  <c r="DI39" i="22"/>
  <c r="DE66" i="22"/>
  <c r="DG66" i="22" s="1"/>
  <c r="DA47" i="23"/>
  <c r="DD33" i="23"/>
  <c r="DG29" i="23"/>
  <c r="N31" i="22"/>
  <c r="N29" i="22"/>
  <c r="DA55" i="23"/>
  <c r="BX33" i="23"/>
  <c r="DG33" i="23"/>
  <c r="DD66" i="22"/>
  <c r="DF66" i="22"/>
  <c r="DH66" i="22"/>
  <c r="DI66" i="22"/>
  <c r="DF50" i="23" l="1"/>
  <c r="AG11" i="22"/>
  <c r="AG12" i="22"/>
  <c r="AG10" i="22"/>
  <c r="DH50" i="23"/>
  <c r="DJ50" i="23" s="1"/>
  <c r="BY50" i="23" s="1"/>
  <c r="DC50" i="23"/>
  <c r="DD50" i="23"/>
  <c r="BW26" i="23"/>
  <c r="DA34" i="23"/>
  <c r="M33" i="22"/>
  <c r="A33" i="22"/>
  <c r="A29" i="22" s="1"/>
  <c r="J26" i="22" s="1"/>
  <c r="DD73" i="22"/>
  <c r="DI65" i="22"/>
  <c r="DH65" i="22"/>
  <c r="DJ32" i="22"/>
  <c r="BX49" i="22"/>
  <c r="DI33" i="22"/>
  <c r="DH72" i="22"/>
  <c r="M30" i="22"/>
  <c r="M34" i="22"/>
  <c r="M32" i="22"/>
  <c r="M31" i="22"/>
  <c r="P26" i="23"/>
  <c r="P28" i="23"/>
  <c r="P27" i="23"/>
  <c r="M36" i="22"/>
  <c r="M35" i="22"/>
  <c r="BW56" i="23"/>
  <c r="BV56" i="23" s="1"/>
  <c r="DD52" i="23"/>
  <c r="BW53" i="23"/>
  <c r="BV53" i="23" s="1"/>
  <c r="BM53" i="23" s="1"/>
  <c r="BJ53" i="23" s="1"/>
  <c r="DA48" i="23"/>
  <c r="A25" i="23"/>
  <c r="BX31" i="23"/>
  <c r="DH31" i="23"/>
  <c r="DE58" i="22"/>
  <c r="DH58" i="22"/>
  <c r="DF58" i="22"/>
  <c r="DF57" i="22"/>
  <c r="DH32" i="23"/>
  <c r="E32" i="22"/>
  <c r="E31" i="22"/>
  <c r="DF41" i="22"/>
  <c r="DJ33" i="22"/>
  <c r="DE64" i="22"/>
  <c r="DD45" i="22"/>
  <c r="DF45" i="22"/>
  <c r="DG72" i="22"/>
  <c r="DI41" i="22"/>
  <c r="DH45" i="22"/>
  <c r="DF49" i="22"/>
  <c r="DE49" i="22"/>
  <c r="DI57" i="22"/>
  <c r="L14" i="22"/>
  <c r="M14" i="22" s="1"/>
  <c r="O14" i="23" s="1"/>
  <c r="BW49" i="23"/>
  <c r="DE69" i="22"/>
  <c r="DE38" i="22"/>
  <c r="DG52" i="23"/>
  <c r="DC56" i="23"/>
  <c r="DD48" i="23"/>
  <c r="DE62" i="22"/>
  <c r="DJ46" i="22"/>
  <c r="N33" i="22"/>
  <c r="N32" i="22"/>
  <c r="L11" i="22"/>
  <c r="M11" i="22" s="1"/>
  <c r="O11" i="23" s="1"/>
  <c r="AM13" i="22"/>
  <c r="AN13" i="23" s="1"/>
  <c r="N37" i="22"/>
  <c r="N36" i="22"/>
  <c r="DH49" i="23"/>
  <c r="DJ49" i="23" s="1"/>
  <c r="DG47" i="23"/>
  <c r="DJ47" i="23" s="1"/>
  <c r="BY18" i="23"/>
  <c r="BX33" i="22"/>
  <c r="AW7" i="22"/>
  <c r="AY9" i="23" s="1"/>
  <c r="DD33" i="22"/>
  <c r="DC47" i="23"/>
  <c r="DF47" i="23" s="1"/>
  <c r="DC53" i="23"/>
  <c r="DD71" i="22"/>
  <c r="DH33" i="22"/>
  <c r="BX51" i="23"/>
  <c r="DE41" i="22"/>
  <c r="DI49" i="22"/>
  <c r="DC30" i="23"/>
  <c r="DD41" i="22"/>
  <c r="BX45" i="22"/>
  <c r="DF53" i="23"/>
  <c r="DJ41" i="22"/>
  <c r="DH34" i="23"/>
  <c r="DD49" i="23"/>
  <c r="BX47" i="23"/>
  <c r="DC34" i="23"/>
  <c r="BY39" i="23"/>
  <c r="L10" i="22"/>
  <c r="BX53" i="23"/>
  <c r="DC49" i="23"/>
  <c r="DF64" i="22"/>
  <c r="DH53" i="23"/>
  <c r="DJ53" i="23" s="1"/>
  <c r="DL53" i="23" s="1"/>
  <c r="DD53" i="23"/>
  <c r="DJ39" i="22"/>
  <c r="DK39" i="22" s="1"/>
  <c r="DJ49" i="22"/>
  <c r="DE33" i="22"/>
  <c r="DG49" i="22"/>
  <c r="DH49" i="22"/>
  <c r="BW35" i="23"/>
  <c r="BV35" i="23" s="1"/>
  <c r="BM35" i="23" s="1"/>
  <c r="BJ35" i="23" s="1"/>
  <c r="DG34" i="23"/>
  <c r="BW27" i="23"/>
  <c r="DI45" i="22"/>
  <c r="DC33" i="23"/>
  <c r="DH33" i="23"/>
  <c r="DJ33" i="23" s="1"/>
  <c r="BX29" i="23"/>
  <c r="DF29" i="23"/>
  <c r="DC29" i="23"/>
  <c r="DI42" i="22"/>
  <c r="DF38" i="22"/>
  <c r="DE30" i="22"/>
  <c r="BX38" i="22"/>
  <c r="DF65" i="22"/>
  <c r="DJ65" i="22"/>
  <c r="DD30" i="22"/>
  <c r="DJ42" i="22"/>
  <c r="DD57" i="22"/>
  <c r="DG57" i="22" s="1"/>
  <c r="DJ30" i="22"/>
  <c r="DH67" i="22"/>
  <c r="DE42" i="22"/>
  <c r="DH42" i="22"/>
  <c r="DJ38" i="22"/>
  <c r="DD46" i="22"/>
  <c r="DG46" i="22" s="1"/>
  <c r="DH57" i="22"/>
  <c r="BX46" i="22"/>
  <c r="DI59" i="22"/>
  <c r="DJ73" i="22"/>
  <c r="DH30" i="22"/>
  <c r="DI46" i="22"/>
  <c r="DD59" i="22"/>
  <c r="DI73" i="22"/>
  <c r="DF30" i="22"/>
  <c r="DE59" i="22"/>
  <c r="DE46" i="22"/>
  <c r="DI30" i="22"/>
  <c r="DH38" i="22"/>
  <c r="DH59" i="22"/>
  <c r="DI38" i="22"/>
  <c r="DJ57" i="22"/>
  <c r="DF73" i="22"/>
  <c r="DF46" i="22"/>
  <c r="AL13" i="22"/>
  <c r="AN13" i="22" s="1"/>
  <c r="AN28" i="22"/>
  <c r="AM12" i="22"/>
  <c r="DK12" i="22" s="1"/>
  <c r="AC11" i="22"/>
  <c r="AD11" i="23" s="1"/>
  <c r="N6" i="23"/>
  <c r="AM11" i="22"/>
  <c r="DK11" i="22" s="1"/>
  <c r="DJ11" i="22" s="1"/>
  <c r="AM10" i="22"/>
  <c r="DK10" i="22" s="1"/>
  <c r="BW32" i="23"/>
  <c r="BV32" i="23" s="1"/>
  <c r="BM32" i="23" s="1"/>
  <c r="BJ32" i="23" s="1"/>
  <c r="DD31" i="23"/>
  <c r="DC31" i="23"/>
  <c r="DG31" i="23"/>
  <c r="DJ29" i="23"/>
  <c r="DO29" i="23" s="1"/>
  <c r="DJ64" i="22"/>
  <c r="DG71" i="22"/>
  <c r="DH71" i="22"/>
  <c r="DJ36" i="22"/>
  <c r="BX36" i="22"/>
  <c r="DI71" i="22"/>
  <c r="DH64" i="22"/>
  <c r="DE40" i="22"/>
  <c r="DG40" i="22" s="1"/>
  <c r="DI72" i="22"/>
  <c r="DJ72" i="22"/>
  <c r="BX40" i="22"/>
  <c r="DF40" i="22"/>
  <c r="DI64" i="22"/>
  <c r="DF32" i="22"/>
  <c r="DI40" i="22"/>
  <c r="DJ40" i="22"/>
  <c r="DE72" i="22"/>
  <c r="DH56" i="22"/>
  <c r="DD72" i="22"/>
  <c r="N39" i="22"/>
  <c r="N46" i="22"/>
  <c r="N38" i="22"/>
  <c r="N30" i="22"/>
  <c r="N43" i="22"/>
  <c r="N35" i="22"/>
  <c r="N42" i="22"/>
  <c r="BX28" i="23"/>
  <c r="C27" i="23"/>
  <c r="DA28" i="23"/>
  <c r="DG28" i="23"/>
  <c r="DD28" i="23"/>
  <c r="DF28" i="23" s="1"/>
  <c r="DH28" i="23"/>
  <c r="C28" i="23"/>
  <c r="DI56" i="22"/>
  <c r="DI63" i="22"/>
  <c r="E40" i="22"/>
  <c r="E46" i="22"/>
  <c r="E38" i="22"/>
  <c r="E45" i="22"/>
  <c r="E37" i="22"/>
  <c r="DE63" i="22"/>
  <c r="E44" i="22"/>
  <c r="E36" i="22"/>
  <c r="DE56" i="22"/>
  <c r="DD63" i="22"/>
  <c r="DG63" i="22" s="1"/>
  <c r="DH63" i="22"/>
  <c r="E43" i="22"/>
  <c r="E35" i="22"/>
  <c r="DJ56" i="22"/>
  <c r="E42" i="22"/>
  <c r="E34" i="22"/>
  <c r="DF56" i="22"/>
  <c r="DG56" i="22" s="1"/>
  <c r="E41" i="22"/>
  <c r="S11" i="22"/>
  <c r="AC9" i="22"/>
  <c r="AD9" i="23" s="1"/>
  <c r="S9" i="22"/>
  <c r="BW50" i="23"/>
  <c r="BV50" i="23" s="1"/>
  <c r="BM50" i="23" s="1"/>
  <c r="BJ50" i="23" s="1"/>
  <c r="BW54" i="23"/>
  <c r="BV54" i="23" s="1"/>
  <c r="BW33" i="23"/>
  <c r="BV33" i="23" s="1"/>
  <c r="BM33" i="23" s="1"/>
  <c r="BJ33" i="23" s="1"/>
  <c r="DH40" i="22"/>
  <c r="DF68" i="22"/>
  <c r="DJ63" i="22"/>
  <c r="DJ61" i="22"/>
  <c r="AW8" i="22"/>
  <c r="AY10" i="23" s="1"/>
  <c r="AG9" i="22"/>
  <c r="AM9" i="22"/>
  <c r="AN9" i="23" s="1"/>
  <c r="AC10" i="22"/>
  <c r="DA10" i="22" s="1"/>
  <c r="CZ10" i="22" s="1"/>
  <c r="AY26" i="23"/>
  <c r="AC12" i="22"/>
  <c r="AD12" i="23" s="1"/>
  <c r="AB13" i="23"/>
  <c r="V13" i="23" s="1"/>
  <c r="T13" i="23" s="1"/>
  <c r="S12" i="22"/>
  <c r="A46" i="23"/>
  <c r="DD56" i="23"/>
  <c r="DC51" i="23"/>
  <c r="DH52" i="23"/>
  <c r="DF51" i="23"/>
  <c r="BX56" i="23"/>
  <c r="DG51" i="23"/>
  <c r="DJ51" i="23" s="1"/>
  <c r="DF56" i="23"/>
  <c r="DH56" i="23"/>
  <c r="DJ56" i="23" s="1"/>
  <c r="DD51" i="23"/>
  <c r="BX49" i="23"/>
  <c r="DF69" i="22"/>
  <c r="DD62" i="22"/>
  <c r="DD32" i="22"/>
  <c r="DJ35" i="22"/>
  <c r="DH47" i="22"/>
  <c r="DI69" i="22"/>
  <c r="DJ69" i="22"/>
  <c r="DF62" i="22"/>
  <c r="DG62" i="22" s="1"/>
  <c r="DI32" i="22"/>
  <c r="DE32" i="22"/>
  <c r="DE39" i="22"/>
  <c r="DG39" i="22" s="1"/>
  <c r="DE43" i="22"/>
  <c r="DH32" i="22"/>
  <c r="DD69" i="22"/>
  <c r="DG69" i="22" s="1"/>
  <c r="DK66" i="22"/>
  <c r="DM66" i="22" s="1"/>
  <c r="BV48" i="22"/>
  <c r="BM48" i="22" s="1"/>
  <c r="DH54" i="22"/>
  <c r="DJ54" i="22"/>
  <c r="DD39" i="22"/>
  <c r="DF39" i="22"/>
  <c r="DD35" i="22"/>
  <c r="DG70" i="22"/>
  <c r="BX35" i="22"/>
  <c r="AY55" i="23"/>
  <c r="AY56" i="23"/>
  <c r="AY52" i="23"/>
  <c r="DH48" i="23"/>
  <c r="DC55" i="23"/>
  <c r="DG48" i="23"/>
  <c r="DG55" i="23"/>
  <c r="DF55" i="23"/>
  <c r="DC48" i="23"/>
  <c r="DF48" i="23" s="1"/>
  <c r="DH55" i="23"/>
  <c r="BW52" i="23"/>
  <c r="BV52" i="23" s="1"/>
  <c r="BM52" i="23" s="1"/>
  <c r="BJ52" i="23" s="1"/>
  <c r="BX55" i="23"/>
  <c r="BX32" i="23"/>
  <c r="DD32" i="23"/>
  <c r="DC32" i="23"/>
  <c r="DG32" i="23"/>
  <c r="DA29" i="23"/>
  <c r="BW30" i="23"/>
  <c r="BV30" i="23" s="1"/>
  <c r="BM30" i="23" s="1"/>
  <c r="BJ30" i="23" s="1"/>
  <c r="DH70" i="22"/>
  <c r="DI47" i="22"/>
  <c r="DD70" i="22"/>
  <c r="DF42" i="22"/>
  <c r="DG42" i="22" s="1"/>
  <c r="BX42" i="22"/>
  <c r="DE35" i="22"/>
  <c r="DF70" i="22"/>
  <c r="DD47" i="22"/>
  <c r="DF47" i="22"/>
  <c r="DE70" i="22"/>
  <c r="DH43" i="22"/>
  <c r="DE47" i="22"/>
  <c r="DI70" i="22"/>
  <c r="BX47" i="22"/>
  <c r="DD43" i="22"/>
  <c r="DG47" i="22"/>
  <c r="M13" i="22"/>
  <c r="BG92" i="23"/>
  <c r="DD27" i="23"/>
  <c r="DH27" i="23"/>
  <c r="DC27" i="23"/>
  <c r="DA31" i="23"/>
  <c r="AY35" i="23"/>
  <c r="DD34" i="23"/>
  <c r="DG27" i="23"/>
  <c r="AY33" i="23"/>
  <c r="AY53" i="23"/>
  <c r="AY47" i="23"/>
  <c r="DD68" i="22"/>
  <c r="DF61" i="22"/>
  <c r="DI44" i="22"/>
  <c r="DI61" i="22"/>
  <c r="DE44" i="22"/>
  <c r="DH61" i="22"/>
  <c r="DH68" i="22"/>
  <c r="DJ44" i="22"/>
  <c r="DE34" i="22"/>
  <c r="DH44" i="22"/>
  <c r="DE61" i="22"/>
  <c r="DE37" i="22"/>
  <c r="BX34" i="22"/>
  <c r="DI37" i="22"/>
  <c r="BX37" i="22"/>
  <c r="DF37" i="22"/>
  <c r="DH37" i="22"/>
  <c r="DH35" i="22"/>
  <c r="DD37" i="22"/>
  <c r="DE68" i="22"/>
  <c r="DG68" i="22" s="1"/>
  <c r="DI68" i="22"/>
  <c r="AW30" i="22"/>
  <c r="AY30" i="23"/>
  <c r="AY54" i="23"/>
  <c r="AY50" i="23"/>
  <c r="AY34" i="23"/>
  <c r="AY29" i="23"/>
  <c r="AY32" i="23"/>
  <c r="AC13" i="22"/>
  <c r="E33" i="22"/>
  <c r="U51" i="22"/>
  <c r="T64" i="23"/>
  <c r="BV49" i="22"/>
  <c r="BM49" i="22" s="1"/>
  <c r="DJ60" i="22"/>
  <c r="DE60" i="22"/>
  <c r="DF60" i="22"/>
  <c r="DD60" i="22"/>
  <c r="DH60" i="22"/>
  <c r="DI60" i="22"/>
  <c r="DE67" i="22"/>
  <c r="DJ67" i="22"/>
  <c r="DD67" i="22"/>
  <c r="DG67" i="22" s="1"/>
  <c r="DF67" i="22"/>
  <c r="AY31" i="23"/>
  <c r="DC26" i="23"/>
  <c r="DG26" i="23"/>
  <c r="DD26" i="23"/>
  <c r="DH26" i="23"/>
  <c r="BX26" i="23"/>
  <c r="DD55" i="22"/>
  <c r="DI55" i="22"/>
  <c r="DF55" i="22"/>
  <c r="DE55" i="22"/>
  <c r="DJ55" i="22"/>
  <c r="DH55" i="22"/>
  <c r="BW27" i="22"/>
  <c r="DI48" i="22"/>
  <c r="DJ48" i="22"/>
  <c r="BX48" i="22"/>
  <c r="DG48" i="22"/>
  <c r="DF48" i="22"/>
  <c r="DD48" i="22"/>
  <c r="DE48" i="22"/>
  <c r="DH48" i="22"/>
  <c r="DJ31" i="22"/>
  <c r="BX31" i="22"/>
  <c r="DE31" i="22"/>
  <c r="DF31" i="22"/>
  <c r="DI31" i="22"/>
  <c r="DD31" i="22"/>
  <c r="DH31" i="22"/>
  <c r="C33" i="23"/>
  <c r="DH54" i="23"/>
  <c r="DC54" i="23"/>
  <c r="DF54" i="23"/>
  <c r="DD54" i="23"/>
  <c r="BW51" i="23"/>
  <c r="DA51" i="23"/>
  <c r="DG54" i="23"/>
  <c r="BX54" i="23"/>
  <c r="DF30" i="23"/>
  <c r="DD30" i="23"/>
  <c r="DG30" i="23"/>
  <c r="DJ30" i="23" s="1"/>
  <c r="BX30" i="23"/>
  <c r="BX35" i="23"/>
  <c r="DF35" i="23"/>
  <c r="DC35" i="23"/>
  <c r="DG35" i="23"/>
  <c r="DJ35" i="23" s="1"/>
  <c r="DD35" i="23"/>
  <c r="DF54" i="22"/>
  <c r="DE54" i="22"/>
  <c r="DI54" i="22"/>
  <c r="DI62" i="22"/>
  <c r="DH62" i="22"/>
  <c r="DF44" i="22"/>
  <c r="BX44" i="22"/>
  <c r="DD44" i="22"/>
  <c r="DG44" i="22" s="1"/>
  <c r="DD34" i="22"/>
  <c r="DF34" i="22"/>
  <c r="DJ34" i="22"/>
  <c r="DI34" i="22"/>
  <c r="BG76" i="23"/>
  <c r="DJ45" i="22"/>
  <c r="DG45" i="22"/>
  <c r="BX41" i="22"/>
  <c r="DG41" i="22"/>
  <c r="AV53" i="22"/>
  <c r="V70" i="23" s="1"/>
  <c r="S10" i="22"/>
  <c r="AB10" i="23"/>
  <c r="V10" i="23" s="1"/>
  <c r="T10" i="23" s="1"/>
  <c r="DG73" i="22"/>
  <c r="AW49" i="22"/>
  <c r="AW47" i="22"/>
  <c r="BV29" i="23"/>
  <c r="BM29" i="23" s="1"/>
  <c r="BJ29" i="23" s="1"/>
  <c r="DE73" i="22"/>
  <c r="N10" i="23"/>
  <c r="AY11" i="23" s="1"/>
  <c r="BX43" i="22"/>
  <c r="DF43" i="22"/>
  <c r="DG43" i="22" s="1"/>
  <c r="DI43" i="22"/>
  <c r="DI36" i="22"/>
  <c r="DF36" i="22"/>
  <c r="DE36" i="22"/>
  <c r="DD36" i="22"/>
  <c r="DC52" i="23"/>
  <c r="BX52" i="23"/>
  <c r="DD58" i="22"/>
  <c r="DJ58" i="22"/>
  <c r="DJ71" i="22"/>
  <c r="DE71" i="22"/>
  <c r="AY51" i="23"/>
  <c r="BM47" i="22"/>
  <c r="DF59" i="22"/>
  <c r="DG59" i="22" s="1"/>
  <c r="DF35" i="22"/>
  <c r="DE65" i="22"/>
  <c r="DG65" i="22" s="1"/>
  <c r="AW48" i="22"/>
  <c r="S48" i="22"/>
  <c r="S47" i="22"/>
  <c r="N14" i="23" l="1"/>
  <c r="DF27" i="23"/>
  <c r="DG58" i="22"/>
  <c r="DK65" i="22"/>
  <c r="DN65" i="22" s="1"/>
  <c r="DK13" i="22"/>
  <c r="DL13" i="22" s="1"/>
  <c r="DI13" i="22" s="1"/>
  <c r="BM56" i="23"/>
  <c r="BJ56" i="23" s="1"/>
  <c r="DG38" i="22"/>
  <c r="DK58" i="22"/>
  <c r="DN58" i="22" s="1"/>
  <c r="DJ12" i="22"/>
  <c r="DJ32" i="23"/>
  <c r="DP32" i="23" s="1"/>
  <c r="DJ31" i="23"/>
  <c r="DN31" i="23" s="1"/>
  <c r="DK33" i="22"/>
  <c r="DL33" i="22" s="1"/>
  <c r="DK36" i="22"/>
  <c r="DN36" i="22" s="1"/>
  <c r="AN12" i="23"/>
  <c r="DK45" i="22"/>
  <c r="DR45" i="22" s="1"/>
  <c r="DK32" i="22"/>
  <c r="DR32" i="22" s="1"/>
  <c r="DK41" i="22"/>
  <c r="DN41" i="22" s="1"/>
  <c r="AK28" i="22"/>
  <c r="DJ52" i="23"/>
  <c r="DK52" i="23" s="1"/>
  <c r="DJ34" i="23"/>
  <c r="DP34" i="23" s="1"/>
  <c r="DK59" i="22"/>
  <c r="DN59" i="22" s="1"/>
  <c r="DK46" i="22"/>
  <c r="DR46" i="22" s="1"/>
  <c r="DK42" i="22"/>
  <c r="DM42" i="22" s="1"/>
  <c r="DK69" i="22"/>
  <c r="DN69" i="22" s="1"/>
  <c r="DJ28" i="23"/>
  <c r="DL28" i="23" s="1"/>
  <c r="DK35" i="22"/>
  <c r="BY35" i="22" s="1"/>
  <c r="AN10" i="23"/>
  <c r="AM13" i="23"/>
  <c r="AN11" i="23"/>
  <c r="DL33" i="23"/>
  <c r="BY33" i="23"/>
  <c r="DK56" i="22"/>
  <c r="DL56" i="22" s="1"/>
  <c r="DK73" i="22"/>
  <c r="DP73" i="22" s="1"/>
  <c r="DK49" i="22"/>
  <c r="DL49" i="22" s="1"/>
  <c r="DA12" i="22"/>
  <c r="CZ12" i="22" s="1"/>
  <c r="DF49" i="23"/>
  <c r="DK50" i="23"/>
  <c r="DN50" i="23"/>
  <c r="DO50" i="23"/>
  <c r="DK47" i="23"/>
  <c r="DP47" i="23"/>
  <c r="DP50" i="23"/>
  <c r="DL50" i="23"/>
  <c r="DN47" i="23"/>
  <c r="DO47" i="23"/>
  <c r="DL47" i="23"/>
  <c r="BY47" i="23"/>
  <c r="DN33" i="23"/>
  <c r="DO33" i="23"/>
  <c r="DP33" i="23"/>
  <c r="DK33" i="23"/>
  <c r="DF26" i="23"/>
  <c r="BY29" i="23"/>
  <c r="DP29" i="23"/>
  <c r="DR29" i="23" s="1"/>
  <c r="DW29" i="23" s="1"/>
  <c r="DL29" i="23"/>
  <c r="DN29" i="23"/>
  <c r="DK29" i="23"/>
  <c r="DG37" i="22"/>
  <c r="DG33" i="22"/>
  <c r="DG61" i="22"/>
  <c r="DG54" i="22"/>
  <c r="DK38" i="22"/>
  <c r="DQ38" i="22" s="1"/>
  <c r="DK64" i="22"/>
  <c r="DP64" i="22" s="1"/>
  <c r="DG60" i="22"/>
  <c r="DG36" i="22"/>
  <c r="DG35" i="22"/>
  <c r="DG34" i="22"/>
  <c r="DR66" i="22"/>
  <c r="DG32" i="22"/>
  <c r="DG55" i="22"/>
  <c r="DK70" i="22"/>
  <c r="DN70" i="22" s="1"/>
  <c r="DK30" i="22"/>
  <c r="BY30" i="22" s="1"/>
  <c r="DK71" i="22"/>
  <c r="DL71" i="22" s="1"/>
  <c r="DG30" i="22"/>
  <c r="DK54" i="22"/>
  <c r="DK67" i="22"/>
  <c r="DN67" i="22" s="1"/>
  <c r="DK57" i="22"/>
  <c r="DP57" i="22" s="1"/>
  <c r="DK47" i="22"/>
  <c r="DL47" i="22" s="1"/>
  <c r="AW10" i="22"/>
  <c r="M10" i="22"/>
  <c r="O10" i="23" s="1"/>
  <c r="BM54" i="23"/>
  <c r="BJ54" i="23" s="1"/>
  <c r="T68" i="23"/>
  <c r="DK43" i="22"/>
  <c r="DL43" i="22" s="1"/>
  <c r="DK63" i="22"/>
  <c r="DP63" i="22" s="1"/>
  <c r="DK72" i="22"/>
  <c r="DO72" i="22" s="1"/>
  <c r="DJ10" i="22"/>
  <c r="DA11" i="22"/>
  <c r="CZ11" i="22" s="1"/>
  <c r="DK40" i="22"/>
  <c r="BY40" i="22" s="1"/>
  <c r="AD10" i="23"/>
  <c r="K28" i="23" s="1"/>
  <c r="K49" i="23"/>
  <c r="DA9" i="22"/>
  <c r="CZ9" i="22" s="1"/>
  <c r="DQ66" i="22"/>
  <c r="DG31" i="22"/>
  <c r="DN66" i="22"/>
  <c r="DL66" i="22"/>
  <c r="DO66" i="22" s="1"/>
  <c r="DP66" i="22"/>
  <c r="DK9" i="22"/>
  <c r="BW44" i="23"/>
  <c r="DK60" i="22"/>
  <c r="DM60" i="22" s="1"/>
  <c r="M22" i="23"/>
  <c r="DN56" i="23"/>
  <c r="DO56" i="23"/>
  <c r="BY56" i="23"/>
  <c r="DL56" i="23"/>
  <c r="DK56" i="23"/>
  <c r="DP56" i="23"/>
  <c r="DO53" i="23"/>
  <c r="T69" i="23"/>
  <c r="T66" i="23"/>
  <c r="T67" i="23"/>
  <c r="T65" i="23"/>
  <c r="BW23" i="23"/>
  <c r="BL48" i="22"/>
  <c r="BJ48" i="22"/>
  <c r="BK48" i="22"/>
  <c r="BX44" i="23"/>
  <c r="DJ48" i="23"/>
  <c r="DJ55" i="23"/>
  <c r="DJ27" i="23"/>
  <c r="DO27" i="23" s="1"/>
  <c r="DK37" i="22"/>
  <c r="DQ37" i="22" s="1"/>
  <c r="DK44" i="22"/>
  <c r="DP44" i="22" s="1"/>
  <c r="DK61" i="22"/>
  <c r="DM61" i="22" s="1"/>
  <c r="DK31" i="22"/>
  <c r="DN31" i="22" s="1"/>
  <c r="DK68" i="22"/>
  <c r="DM68" i="22" s="1"/>
  <c r="U55" i="22"/>
  <c r="O13" i="23"/>
  <c r="U56" i="22"/>
  <c r="DJ54" i="23"/>
  <c r="DO54" i="23" s="1"/>
  <c r="DN51" i="23"/>
  <c r="BY51" i="23"/>
  <c r="DK51" i="23"/>
  <c r="DP51" i="23"/>
  <c r="DL51" i="23"/>
  <c r="DO51" i="23"/>
  <c r="DP53" i="23"/>
  <c r="BY53" i="23"/>
  <c r="DN53" i="23"/>
  <c r="DK53" i="23"/>
  <c r="DK34" i="22"/>
  <c r="DM34" i="22" s="1"/>
  <c r="DA13" i="22"/>
  <c r="AD13" i="23"/>
  <c r="BL49" i="22"/>
  <c r="BK49" i="22"/>
  <c r="BJ49" i="22"/>
  <c r="BX23" i="23"/>
  <c r="DL35" i="23"/>
  <c r="DP35" i="23"/>
  <c r="BY35" i="23"/>
  <c r="DK35" i="23"/>
  <c r="DO35" i="23"/>
  <c r="DN35" i="23"/>
  <c r="DK49" i="23"/>
  <c r="DL49" i="23"/>
  <c r="DN49" i="23" s="1"/>
  <c r="DP49" i="23"/>
  <c r="DO49" i="23"/>
  <c r="BY49" i="23"/>
  <c r="BJ47" i="22"/>
  <c r="BK47" i="22"/>
  <c r="BL47" i="22"/>
  <c r="DK55" i="22"/>
  <c r="BF92" i="23"/>
  <c r="BF76" i="23"/>
  <c r="BX27" i="22"/>
  <c r="DJ26" i="23"/>
  <c r="DL39" i="22"/>
  <c r="DO39" i="22" s="1"/>
  <c r="DR39" i="22"/>
  <c r="DM39" i="22"/>
  <c r="DN39" i="22"/>
  <c r="DQ39" i="22"/>
  <c r="BY39" i="22"/>
  <c r="DP39" i="22"/>
  <c r="DK30" i="23"/>
  <c r="DL30" i="23"/>
  <c r="DO30" i="23"/>
  <c r="BY30" i="23"/>
  <c r="DP30" i="23"/>
  <c r="DN30" i="23"/>
  <c r="BV51" i="23"/>
  <c r="BM51" i="23" s="1"/>
  <c r="BJ51" i="23" s="1"/>
  <c r="R70" i="23"/>
  <c r="DK62" i="22"/>
  <c r="DK48" i="22"/>
  <c r="DQ65" i="22" l="1"/>
  <c r="DL65" i="22"/>
  <c r="DL58" i="22"/>
  <c r="DP65" i="22"/>
  <c r="DM65" i="22"/>
  <c r="DO65" i="22"/>
  <c r="DR65" i="22"/>
  <c r="DM13" i="22"/>
  <c r="DN13" i="22" s="1"/>
  <c r="DO13" i="22" s="1"/>
  <c r="DJ13" i="22"/>
  <c r="DL31" i="23"/>
  <c r="DL52" i="23"/>
  <c r="DK31" i="23"/>
  <c r="DO31" i="23"/>
  <c r="DQ58" i="22"/>
  <c r="DM58" i="22"/>
  <c r="DR58" i="22"/>
  <c r="DP58" i="22"/>
  <c r="DL36" i="22"/>
  <c r="DQ36" i="22"/>
  <c r="DP28" i="23"/>
  <c r="DO32" i="23"/>
  <c r="DR32" i="23" s="1"/>
  <c r="DS32" i="23" s="1"/>
  <c r="DN32" i="23"/>
  <c r="DL32" i="23"/>
  <c r="DK32" i="23"/>
  <c r="BY32" i="23"/>
  <c r="BY31" i="23"/>
  <c r="DP31" i="23"/>
  <c r="DR33" i="22"/>
  <c r="DM33" i="22"/>
  <c r="DQ33" i="22"/>
  <c r="DN33" i="22"/>
  <c r="DP33" i="22"/>
  <c r="BY33" i="22"/>
  <c r="DR36" i="22"/>
  <c r="DM36" i="22"/>
  <c r="DO36" i="22" s="1"/>
  <c r="DP56" i="22"/>
  <c r="BY36" i="22"/>
  <c r="DP36" i="22"/>
  <c r="BY32" i="22"/>
  <c r="DL34" i="23"/>
  <c r="DK34" i="23"/>
  <c r="DM45" i="22"/>
  <c r="DM32" i="22"/>
  <c r="DP45" i="22"/>
  <c r="BY41" i="22"/>
  <c r="DP41" i="22"/>
  <c r="DL41" i="22"/>
  <c r="DL32" i="22"/>
  <c r="DR56" i="22"/>
  <c r="DQ45" i="22"/>
  <c r="BY45" i="22"/>
  <c r="DL45" i="22"/>
  <c r="DO45" i="22" s="1"/>
  <c r="DN45" i="22"/>
  <c r="DQ41" i="22"/>
  <c r="DR49" i="22"/>
  <c r="DP59" i="22"/>
  <c r="DP32" i="22"/>
  <c r="DN32" i="22"/>
  <c r="DQ32" i="22"/>
  <c r="DM41" i="22"/>
  <c r="DO41" i="22"/>
  <c r="DR41" i="22"/>
  <c r="DP52" i="23"/>
  <c r="DN52" i="23"/>
  <c r="DO34" i="23"/>
  <c r="DR34" i="23" s="1"/>
  <c r="DV34" i="23" s="1"/>
  <c r="DK28" i="23"/>
  <c r="DN28" i="23" s="1"/>
  <c r="DN34" i="23"/>
  <c r="DO52" i="23"/>
  <c r="BY52" i="23"/>
  <c r="BY34" i="23"/>
  <c r="DQ49" i="22"/>
  <c r="DM64" i="22"/>
  <c r="DO64" i="22" s="1"/>
  <c r="DO49" i="22"/>
  <c r="DQ35" i="22"/>
  <c r="DQ73" i="22"/>
  <c r="DN35" i="22"/>
  <c r="DP42" i="22"/>
  <c r="DM56" i="22"/>
  <c r="DM49" i="22"/>
  <c r="DP49" i="22"/>
  <c r="DQ64" i="22"/>
  <c r="BY42" i="22"/>
  <c r="DL73" i="22"/>
  <c r="DL46" i="22"/>
  <c r="DO46" i="22" s="1"/>
  <c r="DL59" i="22"/>
  <c r="DN73" i="22"/>
  <c r="DQ56" i="22"/>
  <c r="DL38" i="22"/>
  <c r="DQ42" i="22"/>
  <c r="DN56" i="22"/>
  <c r="DQ59" i="22"/>
  <c r="DM46" i="22"/>
  <c r="DM35" i="22"/>
  <c r="DN42" i="22"/>
  <c r="BY46" i="22"/>
  <c r="DL42" i="22"/>
  <c r="DM59" i="22"/>
  <c r="DR69" i="22"/>
  <c r="DL69" i="22"/>
  <c r="DO69" i="22" s="1"/>
  <c r="DQ46" i="22"/>
  <c r="DP46" i="22"/>
  <c r="DN46" i="22"/>
  <c r="DL35" i="22"/>
  <c r="DR35" i="22"/>
  <c r="DR59" i="22"/>
  <c r="DL67" i="22"/>
  <c r="DO67" i="22" s="1"/>
  <c r="DM69" i="22"/>
  <c r="DQ69" i="22"/>
  <c r="DP35" i="22"/>
  <c r="DN49" i="22"/>
  <c r="BY49" i="22"/>
  <c r="DO42" i="22"/>
  <c r="DR42" i="22"/>
  <c r="DP69" i="22"/>
  <c r="DO28" i="23"/>
  <c r="BY28" i="23"/>
  <c r="DR33" i="23"/>
  <c r="BZ33" i="23" s="1"/>
  <c r="DR64" i="22"/>
  <c r="DJ9" i="22"/>
  <c r="DN38" i="22"/>
  <c r="DR73" i="22"/>
  <c r="BY38" i="22"/>
  <c r="DM73" i="22"/>
  <c r="DO73" i="22"/>
  <c r="DP38" i="22"/>
  <c r="DR47" i="23"/>
  <c r="BZ47" i="23" s="1"/>
  <c r="DR50" i="23"/>
  <c r="DT50" i="23" s="1"/>
  <c r="DX29" i="23"/>
  <c r="DZ29" i="23" s="1"/>
  <c r="BZ29" i="23"/>
  <c r="DV29" i="23"/>
  <c r="DS29" i="23"/>
  <c r="DT29" i="23"/>
  <c r="DM38" i="22"/>
  <c r="DL70" i="22"/>
  <c r="DO70" i="22" s="1"/>
  <c r="DR38" i="22"/>
  <c r="DN64" i="22"/>
  <c r="DL64" i="22"/>
  <c r="DM71" i="22"/>
  <c r="DQ70" i="22"/>
  <c r="DM70" i="22"/>
  <c r="DM30" i="22"/>
  <c r="DR70" i="22"/>
  <c r="DP70" i="22"/>
  <c r="DR57" i="22"/>
  <c r="DP30" i="22"/>
  <c r="DL30" i="22"/>
  <c r="DO30" i="22" s="1"/>
  <c r="DR30" i="22"/>
  <c r="BY43" i="22"/>
  <c r="DQ61" i="22"/>
  <c r="DQ30" i="22"/>
  <c r="DQ67" i="22"/>
  <c r="DR67" i="22"/>
  <c r="DM67" i="22"/>
  <c r="DL40" i="22"/>
  <c r="DP67" i="22"/>
  <c r="DN30" i="22"/>
  <c r="DR47" i="22"/>
  <c r="BY31" i="22"/>
  <c r="DN47" i="22"/>
  <c r="DQ40" i="22"/>
  <c r="DM47" i="22"/>
  <c r="DP54" i="22"/>
  <c r="DM54" i="22"/>
  <c r="DR60" i="22"/>
  <c r="DP72" i="22"/>
  <c r="DO47" i="22"/>
  <c r="DN71" i="22"/>
  <c r="DR31" i="22"/>
  <c r="DO71" i="22"/>
  <c r="DM40" i="22"/>
  <c r="DQ71" i="22"/>
  <c r="DP71" i="22"/>
  <c r="DR40" i="22"/>
  <c r="DR71" i="22"/>
  <c r="DQ54" i="22"/>
  <c r="DO40" i="22"/>
  <c r="DN40" i="22"/>
  <c r="DN54" i="22"/>
  <c r="DL44" i="22"/>
  <c r="DQ47" i="22"/>
  <c r="DR54" i="22"/>
  <c r="DN44" i="22"/>
  <c r="DL54" i="22"/>
  <c r="BY47" i="22"/>
  <c r="DQ72" i="22"/>
  <c r="DQ43" i="22"/>
  <c r="DP47" i="22"/>
  <c r="DR72" i="22"/>
  <c r="DN72" i="22"/>
  <c r="DN57" i="22"/>
  <c r="DR43" i="22"/>
  <c r="DL57" i="22"/>
  <c r="DQ57" i="22"/>
  <c r="DN43" i="22"/>
  <c r="DQ44" i="22"/>
  <c r="DR61" i="22"/>
  <c r="DM57" i="22"/>
  <c r="DP43" i="22"/>
  <c r="DM43" i="22"/>
  <c r="DO43" i="22"/>
  <c r="DN61" i="22"/>
  <c r="DR56" i="23"/>
  <c r="DW56" i="23" s="1"/>
  <c r="DL72" i="22"/>
  <c r="DS66" i="22"/>
  <c r="DY66" i="22" s="1"/>
  <c r="DM72" i="22"/>
  <c r="DL63" i="22"/>
  <c r="DO63" i="22" s="1"/>
  <c r="DN63" i="22"/>
  <c r="DR63" i="22"/>
  <c r="DM63" i="22"/>
  <c r="DQ63" i="22"/>
  <c r="DP40" i="22"/>
  <c r="DP61" i="22"/>
  <c r="K48" i="23"/>
  <c r="K27" i="23"/>
  <c r="DQ60" i="22"/>
  <c r="DL31" i="22"/>
  <c r="DP31" i="22"/>
  <c r="DL60" i="22"/>
  <c r="DM31" i="22"/>
  <c r="DR37" i="22"/>
  <c r="DP60" i="22"/>
  <c r="DQ31" i="22"/>
  <c r="DN60" i="22"/>
  <c r="DR53" i="23"/>
  <c r="DV53" i="23" s="1"/>
  <c r="DQ68" i="22"/>
  <c r="DR68" i="22"/>
  <c r="BY34" i="22"/>
  <c r="DN68" i="22"/>
  <c r="DP54" i="23"/>
  <c r="DR54" i="23" s="1"/>
  <c r="DP68" i="22"/>
  <c r="DL34" i="22"/>
  <c r="DL68" i="22"/>
  <c r="DO68" i="22" s="1"/>
  <c r="DP55" i="23"/>
  <c r="DK55" i="23"/>
  <c r="BY55" i="23"/>
  <c r="DO55" i="23"/>
  <c r="DN55" i="23"/>
  <c r="DL55" i="23"/>
  <c r="DK48" i="23"/>
  <c r="DN48" i="23" s="1"/>
  <c r="BY48" i="23"/>
  <c r="DL48" i="23"/>
  <c r="DP48" i="23"/>
  <c r="DO48" i="23"/>
  <c r="BY54" i="23"/>
  <c r="DK54" i="23"/>
  <c r="DN54" i="23"/>
  <c r="DL27" i="23"/>
  <c r="DK27" i="23"/>
  <c r="BY27" i="23"/>
  <c r="DP27" i="23"/>
  <c r="DR27" i="23" s="1"/>
  <c r="DR44" i="22"/>
  <c r="BY37" i="22"/>
  <c r="DP37" i="22"/>
  <c r="DM37" i="22"/>
  <c r="DL61" i="22"/>
  <c r="DO61" i="22" s="1"/>
  <c r="DL37" i="22"/>
  <c r="DN37" i="22"/>
  <c r="BY44" i="22"/>
  <c r="DM44" i="22"/>
  <c r="DO44" i="22" s="1"/>
  <c r="DL54" i="23"/>
  <c r="DR51" i="23"/>
  <c r="DR35" i="23"/>
  <c r="DS35" i="23" s="1"/>
  <c r="DQ34" i="22"/>
  <c r="DN34" i="22"/>
  <c r="DP34" i="22"/>
  <c r="DR34" i="22"/>
  <c r="CZ13" i="22"/>
  <c r="CZ7" i="22" s="1"/>
  <c r="DC10" i="22" s="1"/>
  <c r="DD10" i="22" s="1"/>
  <c r="DR30" i="23"/>
  <c r="DL26" i="23"/>
  <c r="DK26" i="23"/>
  <c r="DN26" i="23"/>
  <c r="DP26" i="23"/>
  <c r="BY26" i="23"/>
  <c r="DO26" i="23"/>
  <c r="DL48" i="22"/>
  <c r="DN48" i="22"/>
  <c r="BY48" i="22"/>
  <c r="DR48" i="22"/>
  <c r="DO48" i="22"/>
  <c r="DM48" i="22"/>
  <c r="DQ48" i="22"/>
  <c r="DP48" i="22"/>
  <c r="DL62" i="22"/>
  <c r="DP62" i="22"/>
  <c r="DM62" i="22"/>
  <c r="DR62" i="22"/>
  <c r="DN62" i="22"/>
  <c r="DQ62" i="22"/>
  <c r="DS39" i="22"/>
  <c r="DP55" i="22"/>
  <c r="DL55" i="22"/>
  <c r="DN55" i="22"/>
  <c r="DQ55" i="22"/>
  <c r="DR55" i="22"/>
  <c r="DM55" i="22"/>
  <c r="DR49" i="23"/>
  <c r="DP13" i="22" l="1"/>
  <c r="DQ13" i="22" s="1"/>
  <c r="DO58" i="22"/>
  <c r="DS65" i="22"/>
  <c r="DZ65" i="22" s="1"/>
  <c r="DS58" i="22"/>
  <c r="DT58" i="22" s="1"/>
  <c r="DJ7" i="22"/>
  <c r="DM12" i="22" s="1"/>
  <c r="DN12" i="22" s="1"/>
  <c r="DR31" i="23"/>
  <c r="DT31" i="23" s="1"/>
  <c r="DR28" i="23"/>
  <c r="DX28" i="23" s="1"/>
  <c r="DV32" i="23"/>
  <c r="DT32" i="23"/>
  <c r="DX32" i="23"/>
  <c r="DO38" i="22"/>
  <c r="DO62" i="22"/>
  <c r="DR52" i="23"/>
  <c r="DV52" i="23" s="1"/>
  <c r="DW32" i="23"/>
  <c r="BZ32" i="23"/>
  <c r="DS36" i="22"/>
  <c r="DY36" i="22" s="1"/>
  <c r="DS33" i="22"/>
  <c r="DZ33" i="22" s="1"/>
  <c r="DO33" i="22"/>
  <c r="DO35" i="22"/>
  <c r="DS41" i="22"/>
  <c r="DT41" i="22" s="1"/>
  <c r="DW34" i="23"/>
  <c r="DO32" i="22"/>
  <c r="DS45" i="22"/>
  <c r="DZ45" i="22" s="1"/>
  <c r="DO54" i="22"/>
  <c r="DS56" i="22"/>
  <c r="DV56" i="22" s="1"/>
  <c r="DS32" i="22"/>
  <c r="DT32" i="22" s="1"/>
  <c r="DS49" i="22"/>
  <c r="DW49" i="22" s="1"/>
  <c r="DS47" i="23"/>
  <c r="DV47" i="23"/>
  <c r="DX47" i="23"/>
  <c r="BZ34" i="23"/>
  <c r="DT34" i="23"/>
  <c r="DX34" i="23"/>
  <c r="DW33" i="23"/>
  <c r="DS34" i="23"/>
  <c r="DV33" i="23"/>
  <c r="DX33" i="23"/>
  <c r="DS73" i="22"/>
  <c r="DW73" i="22" s="1"/>
  <c r="DO59" i="22"/>
  <c r="DS42" i="22"/>
  <c r="DV42" i="22" s="1"/>
  <c r="DS64" i="22"/>
  <c r="DV64" i="22" s="1"/>
  <c r="DS46" i="22"/>
  <c r="BZ46" i="22" s="1"/>
  <c r="DS69" i="22"/>
  <c r="DY69" i="22" s="1"/>
  <c r="DO56" i="22"/>
  <c r="DS38" i="22"/>
  <c r="DX38" i="22" s="1"/>
  <c r="DS59" i="22"/>
  <c r="DU59" i="22" s="1"/>
  <c r="DS57" i="22"/>
  <c r="DX57" i="22" s="1"/>
  <c r="DS35" i="22"/>
  <c r="DU35" i="22" s="1"/>
  <c r="DW47" i="23"/>
  <c r="DS33" i="23"/>
  <c r="DT33" i="23"/>
  <c r="DT47" i="23"/>
  <c r="DS50" i="23"/>
  <c r="DT56" i="23"/>
  <c r="DV50" i="23"/>
  <c r="DX50" i="23"/>
  <c r="DV56" i="23"/>
  <c r="BZ50" i="23"/>
  <c r="DW50" i="23"/>
  <c r="DX56" i="23"/>
  <c r="DZ56" i="23" s="1"/>
  <c r="EA56" i="23" s="1"/>
  <c r="BZ56" i="23"/>
  <c r="DX53" i="23"/>
  <c r="DW53" i="23"/>
  <c r="DT53" i="23"/>
  <c r="DS56" i="23"/>
  <c r="DN27" i="23"/>
  <c r="DO37" i="22"/>
  <c r="DO60" i="22"/>
  <c r="DS70" i="22"/>
  <c r="DZ70" i="22" s="1"/>
  <c r="DS30" i="22"/>
  <c r="DX30" i="22" s="1"/>
  <c r="DS61" i="22"/>
  <c r="DV61" i="22" s="1"/>
  <c r="DO34" i="22"/>
  <c r="DO57" i="22"/>
  <c r="DS67" i="22"/>
  <c r="DV67" i="22" s="1"/>
  <c r="DW67" i="22" s="1"/>
  <c r="DS43" i="22"/>
  <c r="DY43" i="22" s="1"/>
  <c r="DS71" i="22"/>
  <c r="DX71" i="22" s="1"/>
  <c r="DO55" i="22"/>
  <c r="DS47" i="22"/>
  <c r="DW47" i="22" s="1"/>
  <c r="DO31" i="22"/>
  <c r="DT66" i="22"/>
  <c r="DW66" i="22" s="1"/>
  <c r="DV66" i="22"/>
  <c r="DX66" i="22"/>
  <c r="DZ66" i="22"/>
  <c r="DS54" i="22"/>
  <c r="DT54" i="22" s="1"/>
  <c r="DS72" i="22"/>
  <c r="DY72" i="22" s="1"/>
  <c r="DU66" i="22"/>
  <c r="DS40" i="22"/>
  <c r="BZ40" i="22" s="1"/>
  <c r="DS63" i="22"/>
  <c r="DU63" i="22" s="1"/>
  <c r="DW63" i="22" s="1"/>
  <c r="DS44" i="22"/>
  <c r="DT44" i="22" s="1"/>
  <c r="DW44" i="22" s="1"/>
  <c r="DS37" i="22"/>
  <c r="DU37" i="22" s="1"/>
  <c r="DS60" i="22"/>
  <c r="DV60" i="22" s="1"/>
  <c r="DS68" i="22"/>
  <c r="DX68" i="22" s="1"/>
  <c r="DS31" i="22"/>
  <c r="DS53" i="23"/>
  <c r="BZ53" i="23"/>
  <c r="DV27" i="23"/>
  <c r="DX27" i="23"/>
  <c r="DC11" i="22"/>
  <c r="DD11" i="22" s="1"/>
  <c r="DC12" i="22"/>
  <c r="DD12" i="22" s="1"/>
  <c r="DS27" i="23"/>
  <c r="DW27" i="23"/>
  <c r="DT27" i="23"/>
  <c r="DS34" i="22"/>
  <c r="BZ34" i="22" s="1"/>
  <c r="DC13" i="22"/>
  <c r="DD13" i="22" s="1"/>
  <c r="DC9" i="22"/>
  <c r="DD9" i="22" s="1"/>
  <c r="BZ27" i="23"/>
  <c r="BY44" i="23"/>
  <c r="DR48" i="23"/>
  <c r="DR55" i="23"/>
  <c r="DV35" i="23"/>
  <c r="DW35" i="23"/>
  <c r="BY23" i="23"/>
  <c r="BY27" i="22"/>
  <c r="DS62" i="22"/>
  <c r="DV51" i="23"/>
  <c r="DS51" i="23"/>
  <c r="DW51" i="23"/>
  <c r="DT51" i="23"/>
  <c r="DX51" i="23"/>
  <c r="BZ51" i="23"/>
  <c r="BZ35" i="23"/>
  <c r="DX35" i="23"/>
  <c r="DT35" i="23"/>
  <c r="DB4" i="22"/>
  <c r="DB7" i="22"/>
  <c r="DB10" i="22" s="1"/>
  <c r="DS48" i="22"/>
  <c r="DS55" i="22"/>
  <c r="EE29" i="23"/>
  <c r="EF29" i="23"/>
  <c r="CA29" i="23"/>
  <c r="EA29" i="23"/>
  <c r="EB29" i="23"/>
  <c r="ED29" i="23"/>
  <c r="DW54" i="23"/>
  <c r="DS54" i="23"/>
  <c r="DV54" i="23"/>
  <c r="BZ54" i="23"/>
  <c r="DX54" i="23"/>
  <c r="DT54" i="23"/>
  <c r="DR26" i="23"/>
  <c r="DS30" i="23"/>
  <c r="DW30" i="23"/>
  <c r="DV30" i="23"/>
  <c r="DT30" i="23"/>
  <c r="BZ30" i="23"/>
  <c r="DX30" i="23"/>
  <c r="BZ49" i="23"/>
  <c r="DS49" i="23"/>
  <c r="DX49" i="23"/>
  <c r="DW49" i="23"/>
  <c r="DT49" i="23"/>
  <c r="DT39" i="22"/>
  <c r="DW39" i="22" s="1"/>
  <c r="DX39" i="22"/>
  <c r="BZ39" i="22"/>
  <c r="DY39" i="22"/>
  <c r="DV39" i="22"/>
  <c r="DZ39" i="22"/>
  <c r="DU39" i="22"/>
  <c r="BZ31" i="23" l="1"/>
  <c r="DM10" i="22"/>
  <c r="DN10" i="22" s="1"/>
  <c r="DM11" i="22"/>
  <c r="DN11" i="22" s="1"/>
  <c r="DL4" i="22"/>
  <c r="DM9" i="22"/>
  <c r="DL7" i="22"/>
  <c r="DW31" i="23"/>
  <c r="DX31" i="23"/>
  <c r="DU65" i="22"/>
  <c r="DS28" i="23"/>
  <c r="DY58" i="22"/>
  <c r="DV58" i="22"/>
  <c r="DX58" i="22"/>
  <c r="DU58" i="22"/>
  <c r="DV65" i="22"/>
  <c r="DX65" i="22"/>
  <c r="DY65" i="22"/>
  <c r="DT65" i="22"/>
  <c r="DW65" i="22" s="1"/>
  <c r="DZ58" i="22"/>
  <c r="DS31" i="23"/>
  <c r="DV31" i="23"/>
  <c r="DS52" i="23"/>
  <c r="DV28" i="23"/>
  <c r="DW28" i="23"/>
  <c r="DZ28" i="23" s="1"/>
  <c r="EA28" i="23" s="1"/>
  <c r="DT28" i="23"/>
  <c r="BZ28" i="23"/>
  <c r="DT52" i="23"/>
  <c r="DX52" i="23"/>
  <c r="BZ52" i="23"/>
  <c r="DZ32" i="23"/>
  <c r="ED32" i="23" s="1"/>
  <c r="DT36" i="22"/>
  <c r="DU36" i="22"/>
  <c r="DT33" i="22"/>
  <c r="DY33" i="22"/>
  <c r="DU33" i="22"/>
  <c r="DX33" i="22"/>
  <c r="DV33" i="22"/>
  <c r="BZ33" i="22"/>
  <c r="DW52" i="23"/>
  <c r="DZ47" i="23"/>
  <c r="EA47" i="23" s="1"/>
  <c r="DY45" i="22"/>
  <c r="DU45" i="22"/>
  <c r="DV36" i="22"/>
  <c r="DX36" i="22"/>
  <c r="DZ36" i="22"/>
  <c r="BZ36" i="22"/>
  <c r="BZ41" i="22"/>
  <c r="DV41" i="22"/>
  <c r="DZ34" i="23"/>
  <c r="EA34" i="23" s="1"/>
  <c r="BZ45" i="22"/>
  <c r="DV45" i="22"/>
  <c r="DT45" i="22"/>
  <c r="DW45" i="22" s="1"/>
  <c r="DX45" i="22"/>
  <c r="DT56" i="22"/>
  <c r="DX41" i="22"/>
  <c r="DY41" i="22"/>
  <c r="DZ41" i="22"/>
  <c r="DU56" i="22"/>
  <c r="DU41" i="22"/>
  <c r="DX73" i="22"/>
  <c r="DY56" i="22"/>
  <c r="BZ32" i="22"/>
  <c r="DY32" i="22"/>
  <c r="DU73" i="22"/>
  <c r="DV73" i="22"/>
  <c r="DV32" i="22"/>
  <c r="DY73" i="22"/>
  <c r="DZ73" i="22"/>
  <c r="DT73" i="22"/>
  <c r="DZ32" i="22"/>
  <c r="DX32" i="22"/>
  <c r="DX56" i="22"/>
  <c r="DU32" i="22"/>
  <c r="DZ56" i="22"/>
  <c r="DU42" i="22"/>
  <c r="DZ42" i="22"/>
  <c r="BZ42" i="22"/>
  <c r="DT49" i="22"/>
  <c r="DT42" i="22"/>
  <c r="DW42" i="22" s="1"/>
  <c r="DZ49" i="22"/>
  <c r="BZ49" i="22"/>
  <c r="DX49" i="22"/>
  <c r="DV49" i="22"/>
  <c r="DV69" i="22"/>
  <c r="DT69" i="22"/>
  <c r="DW69" i="22" s="1"/>
  <c r="DU49" i="22"/>
  <c r="DY49" i="22"/>
  <c r="DX46" i="22"/>
  <c r="DU46" i="22"/>
  <c r="DY46" i="22"/>
  <c r="DY42" i="22"/>
  <c r="DX42" i="22"/>
  <c r="DZ33" i="23"/>
  <c r="DZ46" i="22"/>
  <c r="DT46" i="22"/>
  <c r="DW46" i="22"/>
  <c r="DZ59" i="22"/>
  <c r="DX59" i="22"/>
  <c r="DV46" i="22"/>
  <c r="DY64" i="22"/>
  <c r="DU69" i="22"/>
  <c r="DT64" i="22"/>
  <c r="DU64" i="22"/>
  <c r="DZ69" i="22"/>
  <c r="DV35" i="22"/>
  <c r="DT57" i="22"/>
  <c r="DY57" i="22"/>
  <c r="DZ35" i="22"/>
  <c r="BZ35" i="22"/>
  <c r="DT59" i="22"/>
  <c r="DV59" i="22"/>
  <c r="DW59" i="22" s="1"/>
  <c r="DX35" i="22"/>
  <c r="DZ38" i="22"/>
  <c r="DY59" i="22"/>
  <c r="DY35" i="22"/>
  <c r="DT35" i="22"/>
  <c r="DY38" i="22"/>
  <c r="DT38" i="22"/>
  <c r="BZ38" i="22"/>
  <c r="DZ64" i="22"/>
  <c r="DZ57" i="22"/>
  <c r="DV57" i="22"/>
  <c r="DW64" i="22"/>
  <c r="DU57" i="22"/>
  <c r="DU38" i="22"/>
  <c r="DX64" i="22"/>
  <c r="DV38" i="22"/>
  <c r="DX69" i="22"/>
  <c r="DZ67" i="22"/>
  <c r="DY67" i="22"/>
  <c r="DV70" i="22"/>
  <c r="DU70" i="22"/>
  <c r="DZ50" i="23"/>
  <c r="EA50" i="23" s="1"/>
  <c r="DV43" i="22"/>
  <c r="DY70" i="22"/>
  <c r="DV49" i="23"/>
  <c r="DZ53" i="23"/>
  <c r="EF53" i="23" s="1"/>
  <c r="EE56" i="23"/>
  <c r="ED56" i="23"/>
  <c r="EB56" i="23"/>
  <c r="EF56" i="23"/>
  <c r="CA56" i="23"/>
  <c r="DZ51" i="23"/>
  <c r="EA51" i="23" s="1"/>
  <c r="DZ31" i="23"/>
  <c r="CA31" i="23" s="1"/>
  <c r="DT67" i="22"/>
  <c r="DY71" i="22"/>
  <c r="DV71" i="22"/>
  <c r="DZ61" i="22"/>
  <c r="DU61" i="22"/>
  <c r="DT30" i="22"/>
  <c r="DZ43" i="22"/>
  <c r="DX70" i="22"/>
  <c r="DY30" i="22"/>
  <c r="DZ71" i="22"/>
  <c r="DU43" i="22"/>
  <c r="DU30" i="22"/>
  <c r="DW30" i="22" s="1"/>
  <c r="DY68" i="22"/>
  <c r="DV44" i="22"/>
  <c r="DT70" i="22"/>
  <c r="DW70" i="22" s="1"/>
  <c r="DY63" i="22"/>
  <c r="DY47" i="22"/>
  <c r="DT61" i="22"/>
  <c r="BZ30" i="22"/>
  <c r="DZ63" i="22"/>
  <c r="DV30" i="22"/>
  <c r="DX61" i="22"/>
  <c r="DZ30" i="22"/>
  <c r="DW58" i="22"/>
  <c r="DU67" i="22"/>
  <c r="DY61" i="22"/>
  <c r="DT63" i="22"/>
  <c r="DX63" i="22"/>
  <c r="DV63" i="22"/>
  <c r="DW71" i="22"/>
  <c r="BZ43" i="22"/>
  <c r="DT71" i="22"/>
  <c r="DX43" i="22"/>
  <c r="DX44" i="22"/>
  <c r="DU71" i="22"/>
  <c r="DZ44" i="22"/>
  <c r="DV47" i="22"/>
  <c r="DT43" i="22"/>
  <c r="DW43" i="22" s="1"/>
  <c r="DY44" i="22"/>
  <c r="DX47" i="22"/>
  <c r="DX67" i="22"/>
  <c r="DZ60" i="22"/>
  <c r="DV37" i="22"/>
  <c r="BZ47" i="22"/>
  <c r="DZ47" i="22"/>
  <c r="DT47" i="22"/>
  <c r="DU47" i="22"/>
  <c r="DU34" i="22"/>
  <c r="DU54" i="22"/>
  <c r="DZ37" i="22"/>
  <c r="DT72" i="22"/>
  <c r="EA66" i="22"/>
  <c r="EB66" i="22" s="1"/>
  <c r="BZ31" i="22"/>
  <c r="DX72" i="22"/>
  <c r="DU72" i="22"/>
  <c r="DX37" i="22"/>
  <c r="DY37" i="22"/>
  <c r="DW40" i="22"/>
  <c r="DW72" i="22"/>
  <c r="DX40" i="22"/>
  <c r="BZ37" i="22"/>
  <c r="DU44" i="22"/>
  <c r="DT40" i="22"/>
  <c r="DZ72" i="22"/>
  <c r="DU40" i="22"/>
  <c r="DT68" i="22"/>
  <c r="DY60" i="22"/>
  <c r="DT37" i="22"/>
  <c r="DW37" i="22" s="1"/>
  <c r="DU68" i="22"/>
  <c r="BZ44" i="22"/>
  <c r="DZ40" i="22"/>
  <c r="DV40" i="22"/>
  <c r="DV72" i="22"/>
  <c r="DX60" i="22"/>
  <c r="DZ31" i="22"/>
  <c r="DY40" i="22"/>
  <c r="DX31" i="22"/>
  <c r="DZ54" i="22"/>
  <c r="DX54" i="22"/>
  <c r="DV54" i="22"/>
  <c r="DW54" i="22" s="1"/>
  <c r="DU31" i="22"/>
  <c r="DY54" i="22"/>
  <c r="DT31" i="22"/>
  <c r="DZ34" i="22"/>
  <c r="DX34" i="22"/>
  <c r="DT34" i="22"/>
  <c r="DY34" i="22"/>
  <c r="DV34" i="22"/>
  <c r="DT60" i="22"/>
  <c r="DZ68" i="22"/>
  <c r="DV31" i="22"/>
  <c r="DV68" i="22"/>
  <c r="DW68" i="22" s="1"/>
  <c r="DY31" i="22"/>
  <c r="DU60" i="22"/>
  <c r="DZ27" i="23"/>
  <c r="EA27" i="23" s="1"/>
  <c r="DW41" i="22"/>
  <c r="DB11" i="22"/>
  <c r="DB12" i="22"/>
  <c r="DE11" i="22"/>
  <c r="DD7" i="22"/>
  <c r="DZ35" i="23"/>
  <c r="EF35" i="23" s="1"/>
  <c r="DT62" i="22"/>
  <c r="DY62" i="22"/>
  <c r="DC7" i="22"/>
  <c r="DB13" i="22"/>
  <c r="DB9" i="22"/>
  <c r="CY9" i="22" s="1"/>
  <c r="DX62" i="22"/>
  <c r="DV62" i="22"/>
  <c r="DZ62" i="22"/>
  <c r="DU62" i="22"/>
  <c r="DS55" i="23"/>
  <c r="DW55" i="23"/>
  <c r="DT55" i="23"/>
  <c r="DV55" i="23"/>
  <c r="DX55" i="23"/>
  <c r="BZ55" i="23"/>
  <c r="DX48" i="23"/>
  <c r="DT48" i="23"/>
  <c r="BZ48" i="23"/>
  <c r="DS48" i="23"/>
  <c r="DV48" i="23"/>
  <c r="DW48" i="23"/>
  <c r="DZ49" i="23"/>
  <c r="EE49" i="23" s="1"/>
  <c r="DX48" i="22"/>
  <c r="DU48" i="22"/>
  <c r="DZ48" i="22"/>
  <c r="DY48" i="22"/>
  <c r="DV48" i="22"/>
  <c r="DT48" i="22"/>
  <c r="BZ48" i="22"/>
  <c r="DW48" i="22"/>
  <c r="EA39" i="22"/>
  <c r="DZ30" i="23"/>
  <c r="EH29" i="23"/>
  <c r="DV55" i="22"/>
  <c r="DT55" i="22"/>
  <c r="DU55" i="22"/>
  <c r="DX55" i="22"/>
  <c r="DZ55" i="22"/>
  <c r="DY55" i="22"/>
  <c r="BZ26" i="23"/>
  <c r="DT26" i="23"/>
  <c r="DX26" i="23"/>
  <c r="DV26" i="23"/>
  <c r="DS26" i="23"/>
  <c r="DW26" i="23"/>
  <c r="DZ54" i="23"/>
  <c r="EA65" i="22" l="1"/>
  <c r="EF65" i="22" s="1"/>
  <c r="EB28" i="23"/>
  <c r="DL11" i="22"/>
  <c r="DI11" i="22" s="1"/>
  <c r="AL11" i="22" s="1"/>
  <c r="DL12" i="22"/>
  <c r="DI12" i="22" s="1"/>
  <c r="DO11" i="22"/>
  <c r="DP11" i="22"/>
  <c r="DQ11" i="22" s="1"/>
  <c r="DL9" i="22"/>
  <c r="DI9" i="22" s="1"/>
  <c r="DL10" i="22"/>
  <c r="DI10" i="22" s="1"/>
  <c r="DN9" i="22"/>
  <c r="DM7" i="22"/>
  <c r="EA58" i="22"/>
  <c r="ED58" i="22" s="1"/>
  <c r="EE32" i="23"/>
  <c r="EF32" i="23"/>
  <c r="EA32" i="23"/>
  <c r="EB32" i="23"/>
  <c r="DW33" i="22"/>
  <c r="EF47" i="23"/>
  <c r="EE28" i="23"/>
  <c r="ED28" i="23"/>
  <c r="CA28" i="23"/>
  <c r="EF28" i="23"/>
  <c r="DZ52" i="23"/>
  <c r="EE52" i="23" s="1"/>
  <c r="CA32" i="23"/>
  <c r="ED47" i="23"/>
  <c r="CA47" i="23"/>
  <c r="EB47" i="23"/>
  <c r="EE47" i="23"/>
  <c r="EA33" i="22"/>
  <c r="EB33" i="22" s="1"/>
  <c r="DW62" i="22"/>
  <c r="DW36" i="22"/>
  <c r="DW38" i="22"/>
  <c r="DW61" i="22"/>
  <c r="EA36" i="22"/>
  <c r="EH36" i="22" s="1"/>
  <c r="EA45" i="22"/>
  <c r="EB45" i="22" s="1"/>
  <c r="EB50" i="23"/>
  <c r="EE34" i="23"/>
  <c r="ED34" i="23"/>
  <c r="EF34" i="23"/>
  <c r="EB34" i="23"/>
  <c r="CA34" i="23"/>
  <c r="EA41" i="22"/>
  <c r="CA41" i="22" s="1"/>
  <c r="ED50" i="23"/>
  <c r="DW56" i="22"/>
  <c r="EA32" i="22"/>
  <c r="EB32" i="22" s="1"/>
  <c r="EF50" i="23"/>
  <c r="CA50" i="23"/>
  <c r="EE50" i="23"/>
  <c r="EA73" i="22"/>
  <c r="ED73" i="22" s="1"/>
  <c r="DW32" i="22"/>
  <c r="EA56" i="22"/>
  <c r="ED56" i="22" s="1"/>
  <c r="DW55" i="22"/>
  <c r="DW31" i="22"/>
  <c r="EA49" i="22"/>
  <c r="EH49" i="22" s="1"/>
  <c r="EA57" i="22"/>
  <c r="EC57" i="22" s="1"/>
  <c r="EA46" i="22"/>
  <c r="EG46" i="22" s="1"/>
  <c r="EA42" i="22"/>
  <c r="EF42" i="22" s="1"/>
  <c r="EA59" i="22"/>
  <c r="EG59" i="22" s="1"/>
  <c r="EB33" i="23"/>
  <c r="CA33" i="23"/>
  <c r="EE33" i="23"/>
  <c r="EF33" i="23"/>
  <c r="EA33" i="23"/>
  <c r="ED33" i="23"/>
  <c r="DW35" i="22"/>
  <c r="EA69" i="22"/>
  <c r="ED69" i="22" s="1"/>
  <c r="EA35" i="22"/>
  <c r="EG35" i="22" s="1"/>
  <c r="EA64" i="22"/>
  <c r="EG64" i="22" s="1"/>
  <c r="EA38" i="22"/>
  <c r="ED38" i="22" s="1"/>
  <c r="DW57" i="22"/>
  <c r="EG65" i="22"/>
  <c r="EA67" i="22"/>
  <c r="EF67" i="22" s="1"/>
  <c r="EA71" i="22"/>
  <c r="EF71" i="22" s="1"/>
  <c r="EA70" i="22"/>
  <c r="EH70" i="22" s="1"/>
  <c r="EE31" i="23"/>
  <c r="EA31" i="23"/>
  <c r="ED31" i="23"/>
  <c r="EH56" i="23"/>
  <c r="EN56" i="23" s="1"/>
  <c r="EB53" i="23"/>
  <c r="EA53" i="23"/>
  <c r="EE53" i="23"/>
  <c r="EH53" i="23" s="1"/>
  <c r="EN53" i="23" s="1"/>
  <c r="CA53" i="23"/>
  <c r="ED53" i="23"/>
  <c r="CA51" i="23"/>
  <c r="ED51" i="23"/>
  <c r="EB51" i="23"/>
  <c r="EE51" i="23"/>
  <c r="EF51" i="23"/>
  <c r="EB31" i="23"/>
  <c r="EF31" i="23"/>
  <c r="EB27" i="23"/>
  <c r="CA27" i="23"/>
  <c r="ED27" i="23"/>
  <c r="EE27" i="23"/>
  <c r="DW60" i="22"/>
  <c r="EA68" i="22"/>
  <c r="EF68" i="22" s="1"/>
  <c r="EA61" i="22"/>
  <c r="EC61" i="22" s="1"/>
  <c r="EA30" i="22"/>
  <c r="EC30" i="22" s="1"/>
  <c r="EA43" i="22"/>
  <c r="CA43" i="22" s="1"/>
  <c r="EA47" i="22"/>
  <c r="EH47" i="22" s="1"/>
  <c r="EA63" i="22"/>
  <c r="EB63" i="22" s="1"/>
  <c r="EE63" i="22" s="1"/>
  <c r="DW34" i="22"/>
  <c r="EA54" i="22"/>
  <c r="EF54" i="22" s="1"/>
  <c r="EA44" i="22"/>
  <c r="ED44" i="22" s="1"/>
  <c r="EC66" i="22"/>
  <c r="EA72" i="22"/>
  <c r="EG72" i="22" s="1"/>
  <c r="EF66" i="22"/>
  <c r="EA37" i="22"/>
  <c r="CA37" i="22" s="1"/>
  <c r="EG66" i="22"/>
  <c r="ED66" i="22"/>
  <c r="BZ27" i="22"/>
  <c r="EE66" i="22"/>
  <c r="EA60" i="22"/>
  <c r="EC60" i="22" s="1"/>
  <c r="EH66" i="22"/>
  <c r="EA40" i="22"/>
  <c r="EB40" i="22" s="1"/>
  <c r="EA31" i="22"/>
  <c r="ED31" i="22" s="1"/>
  <c r="EA34" i="22"/>
  <c r="EC34" i="22" s="1"/>
  <c r="EA62" i="22"/>
  <c r="ED62" i="22" s="1"/>
  <c r="DF13" i="22"/>
  <c r="DF10" i="22"/>
  <c r="DE10" i="22"/>
  <c r="EF27" i="23"/>
  <c r="BZ44" i="23"/>
  <c r="EE35" i="23"/>
  <c r="EH35" i="23" s="1"/>
  <c r="EB35" i="23"/>
  <c r="BZ23" i="23"/>
  <c r="DE9" i="22"/>
  <c r="DF12" i="22"/>
  <c r="DF9" i="22"/>
  <c r="DG9" i="22" s="1"/>
  <c r="DE12" i="22"/>
  <c r="DE13" i="22"/>
  <c r="CY10" i="22"/>
  <c r="DF11" i="22"/>
  <c r="DG11" i="22" s="1"/>
  <c r="CY12" i="22"/>
  <c r="CY13" i="22"/>
  <c r="CY11" i="22"/>
  <c r="EB49" i="23"/>
  <c r="ED49" i="23"/>
  <c r="CA49" i="23"/>
  <c r="EA49" i="23"/>
  <c r="CA35" i="23"/>
  <c r="ED35" i="23"/>
  <c r="EA35" i="23"/>
  <c r="DB8" i="22"/>
  <c r="DZ48" i="23"/>
  <c r="DZ55" i="23"/>
  <c r="EF49" i="23"/>
  <c r="EH49" i="23" s="1"/>
  <c r="EA48" i="22"/>
  <c r="EB48" i="22" s="1"/>
  <c r="EA55" i="22"/>
  <c r="EI29" i="23"/>
  <c r="CB29" i="23"/>
  <c r="EJ29" i="23"/>
  <c r="EN29" i="23"/>
  <c r="EM29" i="23"/>
  <c r="EL29" i="23"/>
  <c r="EF54" i="23"/>
  <c r="CA54" i="23"/>
  <c r="EB54" i="23"/>
  <c r="ED54" i="23"/>
  <c r="EE54" i="23"/>
  <c r="EA54" i="23"/>
  <c r="DZ26" i="23"/>
  <c r="EG39" i="22"/>
  <c r="ED39" i="22"/>
  <c r="EC39" i="22"/>
  <c r="EH39" i="22"/>
  <c r="CA39" i="22"/>
  <c r="EB39" i="22"/>
  <c r="EE39" i="22" s="1"/>
  <c r="EF39" i="22"/>
  <c r="EE30" i="23"/>
  <c r="EB30" i="23"/>
  <c r="ED30" i="23"/>
  <c r="EA30" i="23"/>
  <c r="EF30" i="23"/>
  <c r="CA30" i="23"/>
  <c r="EH65" i="22" l="1"/>
  <c r="EI65" i="22" s="1"/>
  <c r="EP65" i="22" s="1"/>
  <c r="EH58" i="22"/>
  <c r="EC65" i="22"/>
  <c r="EB65" i="22"/>
  <c r="EE65" i="22" s="1"/>
  <c r="ED65" i="22"/>
  <c r="EH47" i="23"/>
  <c r="EL47" i="23" s="1"/>
  <c r="DL8" i="22"/>
  <c r="AM11" i="23"/>
  <c r="AN11" i="22"/>
  <c r="DN7" i="22"/>
  <c r="EH32" i="23"/>
  <c r="EL32" i="23" s="1"/>
  <c r="EF58" i="22"/>
  <c r="EG58" i="22"/>
  <c r="EC58" i="22"/>
  <c r="EB58" i="22"/>
  <c r="EE58" i="22" s="1"/>
  <c r="EH28" i="23"/>
  <c r="CB28" i="23" s="1"/>
  <c r="ED36" i="22"/>
  <c r="CA36" i="22"/>
  <c r="EB36" i="22"/>
  <c r="EC33" i="22"/>
  <c r="ED52" i="23"/>
  <c r="CA52" i="23"/>
  <c r="EB52" i="23"/>
  <c r="EF52" i="23"/>
  <c r="EH52" i="23" s="1"/>
  <c r="EL52" i="23" s="1"/>
  <c r="EA52" i="23"/>
  <c r="EH50" i="23"/>
  <c r="EN50" i="23" s="1"/>
  <c r="EG33" i="22"/>
  <c r="EF33" i="22"/>
  <c r="ED33" i="22"/>
  <c r="EE33" i="22" s="1"/>
  <c r="CA33" i="22"/>
  <c r="EH33" i="22"/>
  <c r="EH34" i="23"/>
  <c r="EI34" i="23" s="1"/>
  <c r="EF36" i="22"/>
  <c r="EG36" i="22"/>
  <c r="EC36" i="22"/>
  <c r="EG45" i="22"/>
  <c r="EH45" i="22"/>
  <c r="ED45" i="22"/>
  <c r="EE45" i="22"/>
  <c r="CA45" i="22"/>
  <c r="EC45" i="22"/>
  <c r="EF45" i="22"/>
  <c r="ED32" i="22"/>
  <c r="EH32" i="22"/>
  <c r="EC41" i="22"/>
  <c r="EE41" i="22"/>
  <c r="EG41" i="22"/>
  <c r="ED41" i="22"/>
  <c r="EH41" i="22"/>
  <c r="EB41" i="22"/>
  <c r="EF41" i="22"/>
  <c r="CB32" i="23"/>
  <c r="EG32" i="22"/>
  <c r="EC32" i="22"/>
  <c r="EE32" i="22" s="1"/>
  <c r="CA32" i="22"/>
  <c r="EF32" i="22"/>
  <c r="EM32" i="23"/>
  <c r="EH73" i="22"/>
  <c r="EE73" i="22"/>
  <c r="EB73" i="22"/>
  <c r="EG73" i="22"/>
  <c r="EF73" i="22"/>
  <c r="EN47" i="23"/>
  <c r="CB47" i="23"/>
  <c r="EH57" i="22"/>
  <c r="EF57" i="22"/>
  <c r="EB57" i="22"/>
  <c r="ED57" i="22"/>
  <c r="EG57" i="22"/>
  <c r="EE56" i="22"/>
  <c r="EH56" i="22"/>
  <c r="EC73" i="22"/>
  <c r="EC56" i="22"/>
  <c r="EB56" i="22"/>
  <c r="EG56" i="22"/>
  <c r="EF56" i="22"/>
  <c r="EC42" i="22"/>
  <c r="EC46" i="22"/>
  <c r="ED46" i="22"/>
  <c r="EF46" i="22"/>
  <c r="EH46" i="22"/>
  <c r="EB46" i="22"/>
  <c r="EE46" i="22" s="1"/>
  <c r="CA49" i="22"/>
  <c r="EH69" i="22"/>
  <c r="EE49" i="22"/>
  <c r="EH59" i="22"/>
  <c r="CA46" i="22"/>
  <c r="EC59" i="22"/>
  <c r="EF69" i="22"/>
  <c r="EF59" i="22"/>
  <c r="EC49" i="22"/>
  <c r="EB59" i="22"/>
  <c r="EC69" i="22"/>
  <c r="EB69" i="22"/>
  <c r="EE69" i="22" s="1"/>
  <c r="ED59" i="22"/>
  <c r="EH67" i="22"/>
  <c r="EC67" i="22"/>
  <c r="EG69" i="22"/>
  <c r="ED42" i="22"/>
  <c r="EC35" i="22"/>
  <c r="EG49" i="22"/>
  <c r="EB49" i="22"/>
  <c r="ED49" i="22"/>
  <c r="EF49" i="22"/>
  <c r="EH35" i="22"/>
  <c r="EG42" i="22"/>
  <c r="CA42" i="22"/>
  <c r="EB35" i="22"/>
  <c r="ED35" i="22"/>
  <c r="EB42" i="22"/>
  <c r="EE42" i="22" s="1"/>
  <c r="EH42" i="22"/>
  <c r="EF35" i="22"/>
  <c r="CA35" i="22"/>
  <c r="EB71" i="22"/>
  <c r="ED64" i="22"/>
  <c r="EH33" i="23"/>
  <c r="EH31" i="23"/>
  <c r="EM31" i="23" s="1"/>
  <c r="EC38" i="22"/>
  <c r="EE38" i="22" s="1"/>
  <c r="DG10" i="22"/>
  <c r="EF38" i="22"/>
  <c r="EB38" i="22"/>
  <c r="EE71" i="22"/>
  <c r="EH71" i="22"/>
  <c r="EG71" i="22"/>
  <c r="EF64" i="22"/>
  <c r="ED71" i="22"/>
  <c r="EH64" i="22"/>
  <c r="EC64" i="22"/>
  <c r="EE64" i="22" s="1"/>
  <c r="EH38" i="22"/>
  <c r="EE67" i="22"/>
  <c r="ED67" i="22"/>
  <c r="EB67" i="22"/>
  <c r="CA38" i="22"/>
  <c r="EG67" i="22"/>
  <c r="ED47" i="22"/>
  <c r="EB64" i="22"/>
  <c r="EG38" i="22"/>
  <c r="EC71" i="22"/>
  <c r="CA47" i="22"/>
  <c r="EB70" i="22"/>
  <c r="EC70" i="22"/>
  <c r="EE70" i="22" s="1"/>
  <c r="ED70" i="22"/>
  <c r="EG70" i="22"/>
  <c r="EF70" i="22"/>
  <c r="EF47" i="22"/>
  <c r="EG61" i="22"/>
  <c r="ED68" i="22"/>
  <c r="EH68" i="22"/>
  <c r="EH30" i="22"/>
  <c r="EE68" i="22"/>
  <c r="EB68" i="22"/>
  <c r="EB61" i="22"/>
  <c r="ED43" i="22"/>
  <c r="EH61" i="22"/>
  <c r="EG30" i="22"/>
  <c r="EB43" i="22"/>
  <c r="EE43" i="22" s="1"/>
  <c r="EL53" i="23"/>
  <c r="EJ53" i="23"/>
  <c r="EI47" i="23"/>
  <c r="EM47" i="23"/>
  <c r="EL56" i="23"/>
  <c r="CB53" i="23"/>
  <c r="EI56" i="23"/>
  <c r="EI50" i="23"/>
  <c r="EM56" i="23"/>
  <c r="EP56" i="23" s="1"/>
  <c r="EU56" i="23" s="1"/>
  <c r="EJ56" i="23"/>
  <c r="CB56" i="23"/>
  <c r="EM50" i="23"/>
  <c r="EP50" i="23" s="1"/>
  <c r="EU50" i="23" s="1"/>
  <c r="EM53" i="23"/>
  <c r="EP53" i="23" s="1"/>
  <c r="EI53" i="23"/>
  <c r="EH51" i="23"/>
  <c r="EN51" i="23" s="1"/>
  <c r="CB50" i="23"/>
  <c r="EI28" i="23"/>
  <c r="EH27" i="23"/>
  <c r="EM27" i="23" s="1"/>
  <c r="EF61" i="22"/>
  <c r="EC68" i="22"/>
  <c r="ED61" i="22"/>
  <c r="EE61" i="22" s="1"/>
  <c r="EF43" i="22"/>
  <c r="EG43" i="22"/>
  <c r="CA44" i="22"/>
  <c r="EC54" i="22"/>
  <c r="EC43" i="22"/>
  <c r="EG68" i="22"/>
  <c r="EH43" i="22"/>
  <c r="EF37" i="22"/>
  <c r="ED30" i="22"/>
  <c r="EE47" i="22"/>
  <c r="EC47" i="22"/>
  <c r="EB30" i="22"/>
  <c r="EE30" i="22" s="1"/>
  <c r="EC63" i="22"/>
  <c r="EB47" i="22"/>
  <c r="EF30" i="22"/>
  <c r="EH63" i="22"/>
  <c r="EF63" i="22"/>
  <c r="CA30" i="22"/>
  <c r="EE36" i="22"/>
  <c r="EG63" i="22"/>
  <c r="EG47" i="22"/>
  <c r="EH37" i="22"/>
  <c r="EE35" i="22"/>
  <c r="ED63" i="22"/>
  <c r="ED37" i="22"/>
  <c r="EF44" i="22"/>
  <c r="EH44" i="22"/>
  <c r="CA34" i="22"/>
  <c r="EB54" i="22"/>
  <c r="EE54" i="22" s="1"/>
  <c r="EE44" i="22"/>
  <c r="EF34" i="22"/>
  <c r="EC44" i="22"/>
  <c r="EE59" i="22"/>
  <c r="EB44" i="22"/>
  <c r="EG44" i="22"/>
  <c r="EC37" i="22"/>
  <c r="EH62" i="22"/>
  <c r="ED54" i="22"/>
  <c r="EH72" i="22"/>
  <c r="EG54" i="22"/>
  <c r="EB37" i="22"/>
  <c r="EC31" i="22"/>
  <c r="EH31" i="22"/>
  <c r="EH54" i="22"/>
  <c r="EG37" i="22"/>
  <c r="EF48" i="22"/>
  <c r="EB60" i="22"/>
  <c r="EF72" i="22"/>
  <c r="EC72" i="22"/>
  <c r="EE72" i="22"/>
  <c r="EI66" i="22"/>
  <c r="EM66" i="22" s="1"/>
  <c r="EH60" i="22"/>
  <c r="ED72" i="22"/>
  <c r="EB62" i="22"/>
  <c r="ED40" i="22"/>
  <c r="EB72" i="22"/>
  <c r="EF60" i="22"/>
  <c r="ED60" i="22"/>
  <c r="EG62" i="22"/>
  <c r="EG60" i="22"/>
  <c r="EG34" i="22"/>
  <c r="EB31" i="22"/>
  <c r="EF40" i="22"/>
  <c r="EB34" i="22"/>
  <c r="EC62" i="22"/>
  <c r="EG31" i="22"/>
  <c r="CA31" i="22"/>
  <c r="EE40" i="22"/>
  <c r="EC40" i="22"/>
  <c r="EE31" i="22"/>
  <c r="CA40" i="22"/>
  <c r="EF31" i="22"/>
  <c r="EH34" i="22"/>
  <c r="EF62" i="22"/>
  <c r="EH40" i="22"/>
  <c r="EG40" i="22"/>
  <c r="ED34" i="22"/>
  <c r="CA48" i="22"/>
  <c r="DE7" i="22"/>
  <c r="DB5" i="22" s="1"/>
  <c r="DD4" i="22" s="1"/>
  <c r="DD5" i="22" s="1"/>
  <c r="EF55" i="22"/>
  <c r="EI58" i="22"/>
  <c r="EK58" i="22" s="1"/>
  <c r="AB11" i="22"/>
  <c r="AD11" i="22" s="1"/>
  <c r="DG12" i="22"/>
  <c r="DG13" i="22"/>
  <c r="AB13" i="22"/>
  <c r="EH54" i="23"/>
  <c r="EJ54" i="23" s="1"/>
  <c r="ED48" i="22"/>
  <c r="EC48" i="22"/>
  <c r="EH48" i="22"/>
  <c r="EE48" i="22"/>
  <c r="EB55" i="22"/>
  <c r="EC55" i="22"/>
  <c r="EG48" i="22"/>
  <c r="EE55" i="23"/>
  <c r="EA55" i="23"/>
  <c r="EB55" i="23"/>
  <c r="ED55" i="23"/>
  <c r="EF55" i="23"/>
  <c r="CA55" i="23"/>
  <c r="EF48" i="23"/>
  <c r="CA48" i="23"/>
  <c r="EB48" i="23"/>
  <c r="EA48" i="23"/>
  <c r="ED48" i="23"/>
  <c r="EE48" i="23"/>
  <c r="EG55" i="22"/>
  <c r="EH55" i="22"/>
  <c r="ED55" i="22"/>
  <c r="EM49" i="23"/>
  <c r="EN49" i="23"/>
  <c r="EJ49" i="23"/>
  <c r="EL49" i="23"/>
  <c r="CB49" i="23"/>
  <c r="EI49" i="23"/>
  <c r="EP29" i="23"/>
  <c r="ET29" i="23" s="1"/>
  <c r="EH30" i="23"/>
  <c r="EM30" i="23" s="1"/>
  <c r="EI39" i="22"/>
  <c r="EB26" i="23"/>
  <c r="EF26" i="23"/>
  <c r="ED26" i="23"/>
  <c r="EE26" i="23"/>
  <c r="CA26" i="23"/>
  <c r="EA26" i="23"/>
  <c r="EM35" i="23"/>
  <c r="CB35" i="23"/>
  <c r="EI35" i="23"/>
  <c r="EL35" i="23"/>
  <c r="EJ35" i="23"/>
  <c r="EN35" i="23"/>
  <c r="EJ47" i="23" l="1"/>
  <c r="EI32" i="23"/>
  <c r="EJ28" i="23"/>
  <c r="EN28" i="23"/>
  <c r="EN32" i="23"/>
  <c r="EP32" i="23" s="1"/>
  <c r="EV32" i="23" s="1"/>
  <c r="EL50" i="23"/>
  <c r="EJ50" i="23"/>
  <c r="EJ32" i="23"/>
  <c r="EM28" i="23"/>
  <c r="EL28" i="23"/>
  <c r="AB12" i="22"/>
  <c r="AD12" i="22" s="1"/>
  <c r="DO12" i="22"/>
  <c r="DP12" i="22"/>
  <c r="DP9" i="22"/>
  <c r="DQ9" i="22" s="1"/>
  <c r="DO10" i="22"/>
  <c r="DP10" i="22"/>
  <c r="DO9" i="22"/>
  <c r="EJ52" i="23"/>
  <c r="EP47" i="23"/>
  <c r="EV47" i="23" s="1"/>
  <c r="CB52" i="23"/>
  <c r="EI52" i="23"/>
  <c r="EN52" i="23"/>
  <c r="EM52" i="23"/>
  <c r="EI36" i="22"/>
  <c r="EP36" i="22" s="1"/>
  <c r="CB34" i="23"/>
  <c r="EI33" i="22"/>
  <c r="EL33" i="22" s="1"/>
  <c r="EL34" i="23"/>
  <c r="EM34" i="23"/>
  <c r="EJ34" i="23"/>
  <c r="EN34" i="23"/>
  <c r="EE62" i="22"/>
  <c r="EI45" i="22"/>
  <c r="EP45" i="22" s="1"/>
  <c r="EI41" i="22"/>
  <c r="EL41" i="22" s="1"/>
  <c r="EI32" i="22"/>
  <c r="EP32" i="22" s="1"/>
  <c r="EE57" i="22"/>
  <c r="EI46" i="22"/>
  <c r="EP46" i="22" s="1"/>
  <c r="EI73" i="22"/>
  <c r="EM73" i="22" s="1"/>
  <c r="EI57" i="22"/>
  <c r="EL57" i="22" s="1"/>
  <c r="EI69" i="22"/>
  <c r="EP69" i="22" s="1"/>
  <c r="EI59" i="22"/>
  <c r="EK59" i="22" s="1"/>
  <c r="EI56" i="22"/>
  <c r="EK56" i="22" s="1"/>
  <c r="EE55" i="22"/>
  <c r="EI67" i="22"/>
  <c r="EP67" i="22" s="1"/>
  <c r="EI49" i="22"/>
  <c r="EO49" i="22" s="1"/>
  <c r="EI42" i="22"/>
  <c r="EK42" i="22" s="1"/>
  <c r="EI71" i="22"/>
  <c r="EL71" i="22" s="1"/>
  <c r="EI35" i="22"/>
  <c r="EP35" i="22" s="1"/>
  <c r="EN65" i="22"/>
  <c r="EI47" i="22"/>
  <c r="EP47" i="22" s="1"/>
  <c r="EJ65" i="22"/>
  <c r="EM65" i="22" s="1"/>
  <c r="EO65" i="22"/>
  <c r="EL65" i="22"/>
  <c r="EK65" i="22"/>
  <c r="EN31" i="23"/>
  <c r="EP31" i="23" s="1"/>
  <c r="ET31" i="23" s="1"/>
  <c r="EJ31" i="23"/>
  <c r="EI33" i="23"/>
  <c r="EJ33" i="23"/>
  <c r="EM33" i="23"/>
  <c r="EL33" i="23"/>
  <c r="CB33" i="23"/>
  <c r="EN33" i="23"/>
  <c r="CB31" i="23"/>
  <c r="EL31" i="23"/>
  <c r="EI31" i="23"/>
  <c r="EI64" i="22"/>
  <c r="EJ64" i="22" s="1"/>
  <c r="EM64" i="22" s="1"/>
  <c r="EI38" i="22"/>
  <c r="EL38" i="22" s="1"/>
  <c r="EI70" i="22"/>
  <c r="EJ70" i="22" s="1"/>
  <c r="EI68" i="22"/>
  <c r="EL68" i="22" s="1"/>
  <c r="EI61" i="22"/>
  <c r="EN61" i="22" s="1"/>
  <c r="EI72" i="22"/>
  <c r="EJ72" i="22" s="1"/>
  <c r="EI43" i="22"/>
  <c r="EL43" i="22" s="1"/>
  <c r="EI30" i="22"/>
  <c r="EI34" i="22"/>
  <c r="EK34" i="22" s="1"/>
  <c r="CB27" i="23"/>
  <c r="CB54" i="23"/>
  <c r="EN54" i="23"/>
  <c r="ER56" i="23"/>
  <c r="EL54" i="23"/>
  <c r="EQ56" i="23"/>
  <c r="ET56" i="23"/>
  <c r="EV56" i="23"/>
  <c r="EX56" i="23" s="1"/>
  <c r="ET53" i="23"/>
  <c r="EQ53" i="23"/>
  <c r="ER53" i="23"/>
  <c r="EV53" i="23"/>
  <c r="EU53" i="23"/>
  <c r="CC53" i="23"/>
  <c r="CC56" i="23"/>
  <c r="EI51" i="23"/>
  <c r="CB51" i="23"/>
  <c r="EJ51" i="23"/>
  <c r="EM54" i="23"/>
  <c r="EL51" i="23"/>
  <c r="EM51" i="23"/>
  <c r="EP51" i="23" s="1"/>
  <c r="CC51" i="23" s="1"/>
  <c r="EI54" i="23"/>
  <c r="ET50" i="23"/>
  <c r="ER50" i="23"/>
  <c r="CA44" i="23"/>
  <c r="EI27" i="23"/>
  <c r="EJ27" i="23"/>
  <c r="EL27" i="23"/>
  <c r="EN27" i="23"/>
  <c r="EP27" i="23" s="1"/>
  <c r="EV27" i="23" s="1"/>
  <c r="EP28" i="23"/>
  <c r="EV28" i="23" s="1"/>
  <c r="CC29" i="23"/>
  <c r="EI63" i="22"/>
  <c r="EN63" i="22" s="1"/>
  <c r="EE37" i="22"/>
  <c r="EI54" i="22"/>
  <c r="EI37" i="22"/>
  <c r="EO37" i="22" s="1"/>
  <c r="EE60" i="22"/>
  <c r="EI44" i="22"/>
  <c r="EP44" i="22" s="1"/>
  <c r="EE34" i="22"/>
  <c r="EL66" i="22"/>
  <c r="EI60" i="22"/>
  <c r="EN60" i="22" s="1"/>
  <c r="EI62" i="22"/>
  <c r="EP62" i="22" s="1"/>
  <c r="EP66" i="22"/>
  <c r="EO66" i="22"/>
  <c r="EJ66" i="22"/>
  <c r="EN66" i="22"/>
  <c r="EK66" i="22"/>
  <c r="EN58" i="22"/>
  <c r="CA27" i="22"/>
  <c r="EI31" i="22"/>
  <c r="EI40" i="22"/>
  <c r="EP40" i="22" s="1"/>
  <c r="EP58" i="22"/>
  <c r="EJ58" i="22"/>
  <c r="EL58" i="22"/>
  <c r="EO58" i="22"/>
  <c r="EI48" i="22"/>
  <c r="EJ48" i="22" s="1"/>
  <c r="AB10" i="22"/>
  <c r="DG4" i="22"/>
  <c r="EI55" i="22"/>
  <c r="EJ55" i="22" s="1"/>
  <c r="EV50" i="23"/>
  <c r="EX50" i="23" s="1"/>
  <c r="FC50" i="23" s="1"/>
  <c r="CC50" i="23"/>
  <c r="EQ50" i="23"/>
  <c r="EI30" i="23"/>
  <c r="EQ29" i="23"/>
  <c r="AC11" i="23"/>
  <c r="EN30" i="23"/>
  <c r="EP30" i="23" s="1"/>
  <c r="CB30" i="23"/>
  <c r="EL30" i="23"/>
  <c r="EJ30" i="23"/>
  <c r="AB9" i="22"/>
  <c r="AD9" i="22" s="1"/>
  <c r="AC15" i="22"/>
  <c r="AA15" i="22" s="1"/>
  <c r="EP49" i="23"/>
  <c r="EU49" i="23" s="1"/>
  <c r="EV29" i="23"/>
  <c r="ER29" i="23"/>
  <c r="CA23" i="23"/>
  <c r="AC12" i="23"/>
  <c r="AD13" i="22"/>
  <c r="AC13" i="23"/>
  <c r="EK33" i="22"/>
  <c r="EM33" i="22" s="1"/>
  <c r="EH48" i="23"/>
  <c r="EH55" i="23"/>
  <c r="ET47" i="23"/>
  <c r="CC47" i="23"/>
  <c r="ER47" i="23"/>
  <c r="EH26" i="23"/>
  <c r="CB26" i="23" s="1"/>
  <c r="EU29" i="23"/>
  <c r="EP35" i="23"/>
  <c r="CC35" i="23" s="1"/>
  <c r="EO39" i="22"/>
  <c r="EK39" i="22"/>
  <c r="EP39" i="22"/>
  <c r="EJ39" i="22"/>
  <c r="EM39" i="22" s="1"/>
  <c r="EN39" i="22"/>
  <c r="EL39" i="22"/>
  <c r="CB39" i="22"/>
  <c r="EK45" i="22" l="1"/>
  <c r="DO7" i="22"/>
  <c r="DL5" i="22" s="1"/>
  <c r="DN4" i="22" s="1"/>
  <c r="DN5" i="22" s="1"/>
  <c r="AL12" i="22"/>
  <c r="DQ12" i="22"/>
  <c r="DQ10" i="22"/>
  <c r="AL10" i="22" s="1"/>
  <c r="EO36" i="22"/>
  <c r="EL36" i="22"/>
  <c r="EN45" i="22"/>
  <c r="EQ47" i="23"/>
  <c r="EU47" i="23"/>
  <c r="EX47" i="23" s="1"/>
  <c r="FD47" i="23" s="1"/>
  <c r="EP52" i="23"/>
  <c r="EK36" i="22"/>
  <c r="EN36" i="22"/>
  <c r="EL45" i="22"/>
  <c r="EP33" i="22"/>
  <c r="CB36" i="22"/>
  <c r="EJ36" i="22"/>
  <c r="EJ45" i="22"/>
  <c r="EO32" i="22"/>
  <c r="CB33" i="22"/>
  <c r="CB45" i="22"/>
  <c r="EJ33" i="22"/>
  <c r="EO33" i="22"/>
  <c r="EO45" i="22"/>
  <c r="EN33" i="22"/>
  <c r="EM45" i="22"/>
  <c r="EP34" i="23"/>
  <c r="CC34" i="23" s="1"/>
  <c r="EK41" i="22"/>
  <c r="EN41" i="22"/>
  <c r="EJ41" i="22"/>
  <c r="EM41" i="22" s="1"/>
  <c r="EL32" i="22"/>
  <c r="EN32" i="22"/>
  <c r="EN59" i="22"/>
  <c r="EU32" i="23"/>
  <c r="EX32" i="23" s="1"/>
  <c r="CD32" i="23" s="1"/>
  <c r="EQ32" i="23"/>
  <c r="ER32" i="23"/>
  <c r="EL46" i="22"/>
  <c r="EO41" i="22"/>
  <c r="CB41" i="22"/>
  <c r="EP41" i="22"/>
  <c r="EN73" i="22"/>
  <c r="ER51" i="23"/>
  <c r="EK32" i="22"/>
  <c r="EM32" i="22" s="1"/>
  <c r="CB32" i="22"/>
  <c r="EJ32" i="22"/>
  <c r="EO59" i="22"/>
  <c r="EJ59" i="22"/>
  <c r="EP54" i="23"/>
  <c r="CC54" i="23" s="1"/>
  <c r="EM69" i="22"/>
  <c r="EJ69" i="22"/>
  <c r="EN69" i="22"/>
  <c r="EK69" i="22"/>
  <c r="CC32" i="23"/>
  <c r="ET32" i="23"/>
  <c r="EL69" i="22"/>
  <c r="EN46" i="22"/>
  <c r="EO69" i="22"/>
  <c r="CB46" i="22"/>
  <c r="EO56" i="22"/>
  <c r="CC31" i="23"/>
  <c r="EJ73" i="22"/>
  <c r="EL73" i="22"/>
  <c r="EP56" i="22"/>
  <c r="EP59" i="22"/>
  <c r="EO73" i="22"/>
  <c r="EL59" i="22"/>
  <c r="EP73" i="22"/>
  <c r="EK73" i="22"/>
  <c r="EK57" i="22"/>
  <c r="EM57" i="22" s="1"/>
  <c r="EL56" i="22"/>
  <c r="EN57" i="22"/>
  <c r="EJ56" i="22"/>
  <c r="EJ57" i="22"/>
  <c r="EM46" i="22"/>
  <c r="EK46" i="22"/>
  <c r="EP57" i="22"/>
  <c r="EO46" i="22"/>
  <c r="EO57" i="22"/>
  <c r="EJ46" i="22"/>
  <c r="EN56" i="22"/>
  <c r="EO67" i="22"/>
  <c r="EL67" i="22"/>
  <c r="EM67" i="22" s="1"/>
  <c r="EJ49" i="22"/>
  <c r="EM49" i="22"/>
  <c r="EP49" i="22"/>
  <c r="EN71" i="22"/>
  <c r="EJ71" i="22"/>
  <c r="EN67" i="22"/>
  <c r="EK67" i="22"/>
  <c r="EJ67" i="22"/>
  <c r="EN35" i="22"/>
  <c r="CB35" i="22"/>
  <c r="EK49" i="22"/>
  <c r="CB49" i="22"/>
  <c r="EQ65" i="22"/>
  <c r="EX65" i="22" s="1"/>
  <c r="EL42" i="22"/>
  <c r="EL49" i="22"/>
  <c r="EN49" i="22"/>
  <c r="EM71" i="22"/>
  <c r="EP71" i="22"/>
  <c r="EO47" i="22"/>
  <c r="EN47" i="22"/>
  <c r="EL70" i="22"/>
  <c r="EK70" i="22"/>
  <c r="EM70" i="22"/>
  <c r="EO42" i="22"/>
  <c r="EK71" i="22"/>
  <c r="EJ47" i="22"/>
  <c r="EK47" i="22"/>
  <c r="EP42" i="22"/>
  <c r="EO71" i="22"/>
  <c r="CB47" i="22"/>
  <c r="CB42" i="22"/>
  <c r="EJ42" i="22"/>
  <c r="EM42" i="22" s="1"/>
  <c r="EM47" i="22"/>
  <c r="EN42" i="22"/>
  <c r="EO38" i="22"/>
  <c r="EN70" i="22"/>
  <c r="EP70" i="22"/>
  <c r="EL47" i="22"/>
  <c r="EJ35" i="22"/>
  <c r="EK35" i="22"/>
  <c r="EL35" i="22"/>
  <c r="EO35" i="22"/>
  <c r="EP64" i="22"/>
  <c r="EL64" i="22"/>
  <c r="EP33" i="23"/>
  <c r="EU33" i="23" s="1"/>
  <c r="EJ68" i="22"/>
  <c r="EU31" i="23"/>
  <c r="EQ31" i="23"/>
  <c r="ER31" i="23"/>
  <c r="EV31" i="23"/>
  <c r="EK64" i="22"/>
  <c r="CB38" i="22"/>
  <c r="EP38" i="22"/>
  <c r="EN64" i="22"/>
  <c r="EO64" i="22"/>
  <c r="EN38" i="22"/>
  <c r="EJ43" i="22"/>
  <c r="EM43" i="22" s="1"/>
  <c r="CB43" i="22"/>
  <c r="EK38" i="22"/>
  <c r="EP43" i="22"/>
  <c r="EN43" i="22"/>
  <c r="EN34" i="22"/>
  <c r="EO34" i="22"/>
  <c r="EK43" i="22"/>
  <c r="EO43" i="22"/>
  <c r="EO70" i="22"/>
  <c r="EJ38" i="22"/>
  <c r="EM38" i="22" s="1"/>
  <c r="EM59" i="22"/>
  <c r="EM35" i="22"/>
  <c r="EJ61" i="22"/>
  <c r="EO61" i="22"/>
  <c r="EP61" i="22"/>
  <c r="EK61" i="22"/>
  <c r="EL61" i="22"/>
  <c r="EM68" i="22"/>
  <c r="EO63" i="22"/>
  <c r="EP68" i="22"/>
  <c r="EK68" i="22"/>
  <c r="EO68" i="22"/>
  <c r="EN68" i="22"/>
  <c r="EP63" i="22"/>
  <c r="EN72" i="22"/>
  <c r="EO72" i="22"/>
  <c r="EP72" i="22"/>
  <c r="EL72" i="22"/>
  <c r="EL37" i="22"/>
  <c r="EM72" i="22"/>
  <c r="EK72" i="22"/>
  <c r="EJ44" i="22"/>
  <c r="EK30" i="22"/>
  <c r="EO60" i="22"/>
  <c r="EP30" i="22"/>
  <c r="EL60" i="22"/>
  <c r="EN62" i="22"/>
  <c r="EJ34" i="22"/>
  <c r="EP34" i="22"/>
  <c r="EO62" i="22"/>
  <c r="EL30" i="22"/>
  <c r="CB34" i="22"/>
  <c r="EO44" i="22"/>
  <c r="CB30" i="22"/>
  <c r="CB44" i="22"/>
  <c r="EL34" i="22"/>
  <c r="EK44" i="22"/>
  <c r="EL44" i="22"/>
  <c r="EM62" i="22"/>
  <c r="EP54" i="22"/>
  <c r="EL63" i="22"/>
  <c r="EO30" i="22"/>
  <c r="EJ30" i="22"/>
  <c r="EN30" i="22"/>
  <c r="CB37" i="22"/>
  <c r="EK54" i="22"/>
  <c r="EK37" i="22"/>
  <c r="EP60" i="22"/>
  <c r="EN54" i="22"/>
  <c r="ET51" i="23"/>
  <c r="EX53" i="23"/>
  <c r="EZ53" i="23" s="1"/>
  <c r="EQ51" i="23"/>
  <c r="EV51" i="23"/>
  <c r="EU51" i="23"/>
  <c r="EV49" i="23"/>
  <c r="EX49" i="23" s="1"/>
  <c r="EZ49" i="23" s="1"/>
  <c r="CB23" i="23"/>
  <c r="EU28" i="23"/>
  <c r="EX28" i="23" s="1"/>
  <c r="CD28" i="23" s="1"/>
  <c r="CC28" i="23"/>
  <c r="ET28" i="23"/>
  <c r="EQ28" i="23"/>
  <c r="ER28" i="23"/>
  <c r="EX29" i="23"/>
  <c r="FB29" i="23" s="1"/>
  <c r="EV35" i="23"/>
  <c r="EJ60" i="22"/>
  <c r="EM60" i="22" s="1"/>
  <c r="EJ63" i="22"/>
  <c r="EK63" i="22"/>
  <c r="EM63" i="22" s="1"/>
  <c r="EK60" i="22"/>
  <c r="EM61" i="22"/>
  <c r="EJ37" i="22"/>
  <c r="EM37" i="22" s="1"/>
  <c r="EP37" i="22"/>
  <c r="EN37" i="22"/>
  <c r="EJ54" i="22"/>
  <c r="EM54" i="22" s="1"/>
  <c r="EN44" i="22"/>
  <c r="EK62" i="22"/>
  <c r="EL54" i="22"/>
  <c r="EL62" i="22"/>
  <c r="EM36" i="22"/>
  <c r="EO54" i="22"/>
  <c r="EM44" i="22"/>
  <c r="EJ62" i="22"/>
  <c r="EM58" i="22"/>
  <c r="EQ66" i="22"/>
  <c r="EV66" i="22" s="1"/>
  <c r="EJ40" i="22"/>
  <c r="EM40" i="22" s="1"/>
  <c r="EO40" i="22"/>
  <c r="EN48" i="22"/>
  <c r="CB48" i="22"/>
  <c r="EK48" i="22"/>
  <c r="EQ58" i="22"/>
  <c r="EV58" i="22" s="1"/>
  <c r="EO31" i="22"/>
  <c r="EN40" i="22"/>
  <c r="EJ31" i="22"/>
  <c r="EL40" i="22"/>
  <c r="EN31" i="22"/>
  <c r="EK40" i="22"/>
  <c r="CB40" i="22"/>
  <c r="EK31" i="22"/>
  <c r="CB31" i="22"/>
  <c r="EO48" i="22"/>
  <c r="EL31" i="22"/>
  <c r="EP48" i="22"/>
  <c r="EM48" i="22"/>
  <c r="EP31" i="22"/>
  <c r="EL48" i="22"/>
  <c r="EP55" i="22"/>
  <c r="EL55" i="22"/>
  <c r="EN55" i="22"/>
  <c r="EO55" i="22"/>
  <c r="EK55" i="22"/>
  <c r="AD10" i="22"/>
  <c r="AC10" i="23"/>
  <c r="ET49" i="23"/>
  <c r="CD56" i="23"/>
  <c r="FD56" i="23"/>
  <c r="EY56" i="23"/>
  <c r="FB56" i="23"/>
  <c r="FC56" i="23"/>
  <c r="EZ56" i="23"/>
  <c r="EM26" i="23"/>
  <c r="EN26" i="23"/>
  <c r="AC9" i="23"/>
  <c r="ET27" i="23"/>
  <c r="EU27" i="23"/>
  <c r="EX27" i="23" s="1"/>
  <c r="EZ27" i="23" s="1"/>
  <c r="P40" i="22"/>
  <c r="S40" i="22" s="1"/>
  <c r="P45" i="22"/>
  <c r="S45" i="22" s="1"/>
  <c r="P37" i="22"/>
  <c r="S37" i="22" s="1"/>
  <c r="P44" i="22"/>
  <c r="S44" i="22" s="1"/>
  <c r="P41" i="22"/>
  <c r="S41" i="22" s="1"/>
  <c r="P42" i="22"/>
  <c r="S42" i="22" s="1"/>
  <c r="P38" i="22"/>
  <c r="S38" i="22" s="1"/>
  <c r="P46" i="22"/>
  <c r="S46" i="22" s="1"/>
  <c r="P43" i="22"/>
  <c r="S43" i="22" s="1"/>
  <c r="P39" i="22"/>
  <c r="S39" i="22" s="1"/>
  <c r="AD15" i="23"/>
  <c r="CC49" i="23"/>
  <c r="ER49" i="23"/>
  <c r="EQ49" i="23"/>
  <c r="EU35" i="23"/>
  <c r="ER27" i="23"/>
  <c r="EZ50" i="23"/>
  <c r="CD50" i="23"/>
  <c r="CC27" i="23"/>
  <c r="EQ27" i="23"/>
  <c r="EI26" i="23"/>
  <c r="EJ26" i="23"/>
  <c r="EL26" i="23"/>
  <c r="FD50" i="23"/>
  <c r="FF50" i="23" s="1"/>
  <c r="FB50" i="23"/>
  <c r="EM55" i="23"/>
  <c r="EJ55" i="23"/>
  <c r="CB55" i="23"/>
  <c r="EI55" i="23"/>
  <c r="EL55" i="23"/>
  <c r="EN55" i="23"/>
  <c r="EL48" i="23"/>
  <c r="EJ48" i="23"/>
  <c r="CB48" i="23"/>
  <c r="EN48" i="23"/>
  <c r="EI48" i="23"/>
  <c r="EM48" i="23"/>
  <c r="EY50" i="23"/>
  <c r="EQ35" i="23"/>
  <c r="ER35" i="23"/>
  <c r="ET35" i="23"/>
  <c r="ER30" i="23"/>
  <c r="EQ30" i="23"/>
  <c r="EV30" i="23"/>
  <c r="EU30" i="23"/>
  <c r="ET30" i="23"/>
  <c r="CC30" i="23"/>
  <c r="EQ39" i="22"/>
  <c r="AL9" i="22" l="1"/>
  <c r="AN9" i="22" s="1"/>
  <c r="EQ33" i="22"/>
  <c r="EW33" i="22" s="1"/>
  <c r="AM12" i="23"/>
  <c r="AN12" i="22"/>
  <c r="AN10" i="22"/>
  <c r="AM10" i="23"/>
  <c r="AM15" i="22"/>
  <c r="DQ4" i="22"/>
  <c r="EQ45" i="22"/>
  <c r="EX45" i="22" s="1"/>
  <c r="EQ36" i="22"/>
  <c r="EX36" i="22" s="1"/>
  <c r="EV52" i="23"/>
  <c r="EU52" i="23"/>
  <c r="EQ52" i="23"/>
  <c r="ET52" i="23"/>
  <c r="ER52" i="23"/>
  <c r="CC52" i="23"/>
  <c r="EQ32" i="22"/>
  <c r="CC32" i="22" s="1"/>
  <c r="EV34" i="23"/>
  <c r="ER34" i="23"/>
  <c r="EU34" i="23"/>
  <c r="EQ34" i="23"/>
  <c r="ET34" i="23"/>
  <c r="EQ41" i="22"/>
  <c r="CC41" i="22" s="1"/>
  <c r="EQ59" i="22"/>
  <c r="ET59" i="22" s="1"/>
  <c r="EQ69" i="22"/>
  <c r="ER69" i="22" s="1"/>
  <c r="EV54" i="23"/>
  <c r="ET54" i="23"/>
  <c r="EU54" i="23"/>
  <c r="EQ54" i="23"/>
  <c r="ER54" i="23"/>
  <c r="AB15" i="23"/>
  <c r="EQ56" i="22"/>
  <c r="ES56" i="22" s="1"/>
  <c r="EQ73" i="22"/>
  <c r="EU73" i="22" s="1"/>
  <c r="EM56" i="22"/>
  <c r="EM55" i="22"/>
  <c r="EQ46" i="22"/>
  <c r="EV46" i="22" s="1"/>
  <c r="EQ57" i="22"/>
  <c r="EU57" i="22" s="1"/>
  <c r="EV33" i="23"/>
  <c r="EX33" i="23" s="1"/>
  <c r="FC33" i="23" s="1"/>
  <c r="CC33" i="23"/>
  <c r="EM34" i="22"/>
  <c r="EV65" i="22"/>
  <c r="EQ70" i="22"/>
  <c r="ER70" i="22" s="1"/>
  <c r="EQ67" i="22"/>
  <c r="ET67" i="22" s="1"/>
  <c r="EW65" i="22"/>
  <c r="ER65" i="22"/>
  <c r="ES65" i="22"/>
  <c r="EU65" i="22" s="1"/>
  <c r="ET65" i="22"/>
  <c r="EQ49" i="22"/>
  <c r="ER49" i="22" s="1"/>
  <c r="FD28" i="23"/>
  <c r="EQ35" i="22"/>
  <c r="ER35" i="22" s="1"/>
  <c r="EY29" i="23"/>
  <c r="CD29" i="23"/>
  <c r="EX31" i="23"/>
  <c r="EZ31" i="23" s="1"/>
  <c r="EZ29" i="23"/>
  <c r="FD29" i="23"/>
  <c r="EQ33" i="23"/>
  <c r="EQ71" i="22"/>
  <c r="ER71" i="22" s="1"/>
  <c r="ET33" i="23"/>
  <c r="EQ47" i="22"/>
  <c r="EV47" i="22" s="1"/>
  <c r="EM31" i="22"/>
  <c r="EM30" i="22"/>
  <c r="EQ42" i="22"/>
  <c r="ET42" i="22" s="1"/>
  <c r="EQ64" i="22"/>
  <c r="EX64" i="22" s="1"/>
  <c r="ER33" i="23"/>
  <c r="EQ38" i="22"/>
  <c r="EQ61" i="22"/>
  <c r="ER61" i="22" s="1"/>
  <c r="EQ43" i="22"/>
  <c r="EX43" i="22" s="1"/>
  <c r="EQ34" i="22"/>
  <c r="ES34" i="22" s="1"/>
  <c r="EQ68" i="22"/>
  <c r="EW68" i="22" s="1"/>
  <c r="EQ72" i="22"/>
  <c r="ES72" i="22" s="1"/>
  <c r="EQ63" i="22"/>
  <c r="ER63" i="22" s="1"/>
  <c r="EQ60" i="22"/>
  <c r="ET60" i="22" s="1"/>
  <c r="EQ62" i="22"/>
  <c r="EV62" i="22" s="1"/>
  <c r="EQ37" i="22"/>
  <c r="ES37" i="22" s="1"/>
  <c r="EU37" i="22" s="1"/>
  <c r="EQ30" i="22"/>
  <c r="EW30" i="22" s="1"/>
  <c r="EQ44" i="22"/>
  <c r="CC44" i="22" s="1"/>
  <c r="FC29" i="23"/>
  <c r="EZ28" i="23"/>
  <c r="FC28" i="23"/>
  <c r="FD53" i="23"/>
  <c r="FB53" i="23"/>
  <c r="ES66" i="22"/>
  <c r="EQ54" i="22"/>
  <c r="ER54" i="22" s="1"/>
  <c r="FC53" i="23"/>
  <c r="EY53" i="23"/>
  <c r="CD53" i="23"/>
  <c r="EX51" i="23"/>
  <c r="FD51" i="23" s="1"/>
  <c r="EY49" i="23"/>
  <c r="CD49" i="23"/>
  <c r="FB49" i="23"/>
  <c r="FC49" i="23"/>
  <c r="FD49" i="23"/>
  <c r="EY28" i="23"/>
  <c r="FB28" i="23"/>
  <c r="EX35" i="23"/>
  <c r="EY35" i="23" s="1"/>
  <c r="EP26" i="23"/>
  <c r="CC26" i="23" s="1"/>
  <c r="EW45" i="22"/>
  <c r="EU45" i="22"/>
  <c r="EX66" i="22"/>
  <c r="ET66" i="22"/>
  <c r="ER66" i="22"/>
  <c r="EU66" i="22" s="1"/>
  <c r="EW66" i="22"/>
  <c r="EW36" i="22"/>
  <c r="ES36" i="22"/>
  <c r="EQ40" i="22"/>
  <c r="CC40" i="22" s="1"/>
  <c r="ER36" i="22"/>
  <c r="ET58" i="22"/>
  <c r="EW58" i="22"/>
  <c r="CC36" i="22"/>
  <c r="ER58" i="22"/>
  <c r="EU58" i="22" s="1"/>
  <c r="EX58" i="22"/>
  <c r="CB27" i="22"/>
  <c r="ES58" i="22"/>
  <c r="EQ31" i="22"/>
  <c r="ET31" i="22" s="1"/>
  <c r="EQ48" i="22"/>
  <c r="EX48" i="22" s="1"/>
  <c r="EQ55" i="22"/>
  <c r="CC33" i="22"/>
  <c r="FF56" i="23"/>
  <c r="ER33" i="22"/>
  <c r="EP55" i="23"/>
  <c r="EV55" i="23" s="1"/>
  <c r="ES33" i="22"/>
  <c r="FD32" i="23"/>
  <c r="EY32" i="23"/>
  <c r="EZ32" i="23"/>
  <c r="FC27" i="23"/>
  <c r="FB32" i="23"/>
  <c r="FC32" i="23"/>
  <c r="EU33" i="22"/>
  <c r="EX33" i="22"/>
  <c r="EV33" i="22"/>
  <c r="ET33" i="22"/>
  <c r="FB27" i="23"/>
  <c r="FD27" i="23"/>
  <c r="CE50" i="23"/>
  <c r="FH50" i="23"/>
  <c r="FB47" i="23"/>
  <c r="EZ47" i="23"/>
  <c r="CD47" i="23"/>
  <c r="EY47" i="23"/>
  <c r="FC47" i="23"/>
  <c r="FF47" i="23" s="1"/>
  <c r="FL47" i="23" s="1"/>
  <c r="CD27" i="23"/>
  <c r="EY27" i="23"/>
  <c r="EX30" i="23"/>
  <c r="FD30" i="23" s="1"/>
  <c r="FL50" i="23"/>
  <c r="CB44" i="23"/>
  <c r="FK50" i="23"/>
  <c r="FG50" i="23"/>
  <c r="FJ50" i="23"/>
  <c r="EP48" i="23"/>
  <c r="CC39" i="22"/>
  <c r="EW39" i="22"/>
  <c r="EX39" i="22"/>
  <c r="ET39" i="22"/>
  <c r="EU39" i="22" s="1"/>
  <c r="EV39" i="22"/>
  <c r="ES39" i="22"/>
  <c r="ER39" i="22"/>
  <c r="CC45" i="22" l="1"/>
  <c r="ER45" i="22"/>
  <c r="ES45" i="22"/>
  <c r="EV45" i="22"/>
  <c r="EY45" i="22" s="1"/>
  <c r="EZ45" i="22" s="1"/>
  <c r="ET45" i="22"/>
  <c r="AM9" i="23"/>
  <c r="P36" i="22"/>
  <c r="S36" i="22" s="1"/>
  <c r="P31" i="22"/>
  <c r="S31" i="22" s="1"/>
  <c r="P35" i="22"/>
  <c r="S35" i="22" s="1"/>
  <c r="P30" i="22"/>
  <c r="S30" i="22" s="1"/>
  <c r="P34" i="22"/>
  <c r="S34" i="22" s="1"/>
  <c r="P33" i="22"/>
  <c r="S33" i="22" s="1"/>
  <c r="P32" i="22"/>
  <c r="S32" i="22" s="1"/>
  <c r="AN15" i="23"/>
  <c r="Q52" i="23" s="1"/>
  <c r="R52" i="23" s="1"/>
  <c r="AK15" i="22"/>
  <c r="AL15" i="23" s="1"/>
  <c r="ET36" i="22"/>
  <c r="EV36" i="22"/>
  <c r="EY36" i="22" s="1"/>
  <c r="FA36" i="22" s="1"/>
  <c r="EX52" i="23"/>
  <c r="CD52" i="23" s="1"/>
  <c r="EX34" i="23"/>
  <c r="EY34" i="23" s="1"/>
  <c r="ES67" i="22"/>
  <c r="ES41" i="22"/>
  <c r="ET32" i="22"/>
  <c r="ES59" i="22"/>
  <c r="ER59" i="22"/>
  <c r="EV32" i="22"/>
  <c r="EW59" i="22"/>
  <c r="EX32" i="22"/>
  <c r="FC52" i="23"/>
  <c r="ES32" i="22"/>
  <c r="ER32" i="22"/>
  <c r="EX59" i="22"/>
  <c r="EW32" i="22"/>
  <c r="EX41" i="22"/>
  <c r="EW41" i="22"/>
  <c r="EV41" i="22"/>
  <c r="ET41" i="22"/>
  <c r="ER41" i="22"/>
  <c r="EU41" i="22"/>
  <c r="EX67" i="22"/>
  <c r="EX69" i="22"/>
  <c r="ET69" i="22"/>
  <c r="EV59" i="22"/>
  <c r="EU59" i="22"/>
  <c r="ET57" i="22"/>
  <c r="EW69" i="22"/>
  <c r="EV69" i="22"/>
  <c r="EU69" i="22"/>
  <c r="ES69" i="22"/>
  <c r="EX54" i="23"/>
  <c r="FB54" i="23" s="1"/>
  <c r="EV70" i="22"/>
  <c r="EX70" i="22"/>
  <c r="ET73" i="22"/>
  <c r="ET70" i="22"/>
  <c r="EW70" i="22"/>
  <c r="ES70" i="22"/>
  <c r="EU70" i="22"/>
  <c r="ET56" i="22"/>
  <c r="EX73" i="22"/>
  <c r="EV73" i="22"/>
  <c r="ER73" i="22"/>
  <c r="ES73" i="22"/>
  <c r="EW73" i="22"/>
  <c r="EU46" i="22"/>
  <c r="CC46" i="22"/>
  <c r="ET46" i="22"/>
  <c r="ES46" i="22"/>
  <c r="ER46" i="22"/>
  <c r="EW46" i="22"/>
  <c r="EX46" i="22"/>
  <c r="CC23" i="23"/>
  <c r="EV56" i="22"/>
  <c r="ER56" i="22"/>
  <c r="EU56" i="22" s="1"/>
  <c r="EW56" i="22"/>
  <c r="EX56" i="22"/>
  <c r="ES57" i="22"/>
  <c r="EW57" i="22"/>
  <c r="ER57" i="22"/>
  <c r="EV57" i="22"/>
  <c r="EX57" i="22"/>
  <c r="EU32" i="22"/>
  <c r="EY65" i="22"/>
  <c r="EZ65" i="22" s="1"/>
  <c r="CC47" i="22"/>
  <c r="EW67" i="22"/>
  <c r="ER47" i="22"/>
  <c r="EV67" i="22"/>
  <c r="ER67" i="22"/>
  <c r="EU67" i="22" s="1"/>
  <c r="EU47" i="22"/>
  <c r="FF28" i="23"/>
  <c r="FH28" i="23" s="1"/>
  <c r="FC31" i="23"/>
  <c r="FD31" i="23"/>
  <c r="EX47" i="22"/>
  <c r="ER60" i="22"/>
  <c r="EV49" i="22"/>
  <c r="EW49" i="22"/>
  <c r="EX49" i="22"/>
  <c r="EU49" i="22"/>
  <c r="CC49" i="22"/>
  <c r="ES49" i="22"/>
  <c r="ET49" i="22"/>
  <c r="ET71" i="22"/>
  <c r="ET35" i="22"/>
  <c r="EV35" i="22"/>
  <c r="EU35" i="22"/>
  <c r="CC35" i="22"/>
  <c r="EX35" i="22"/>
  <c r="EW35" i="22"/>
  <c r="ES63" i="22"/>
  <c r="EU63" i="22" s="1"/>
  <c r="ES35" i="22"/>
  <c r="FF29" i="23"/>
  <c r="FJ29" i="23" s="1"/>
  <c r="FB31" i="23"/>
  <c r="EX68" i="22"/>
  <c r="ES71" i="22"/>
  <c r="EX71" i="22"/>
  <c r="EU71" i="22"/>
  <c r="EV71" i="22"/>
  <c r="EW71" i="22"/>
  <c r="CD31" i="23"/>
  <c r="EY31" i="23"/>
  <c r="EY33" i="23"/>
  <c r="EW42" i="22"/>
  <c r="ER42" i="22"/>
  <c r="EU42" i="22" s="1"/>
  <c r="CC34" i="22"/>
  <c r="EX34" i="22"/>
  <c r="EV34" i="22"/>
  <c r="EW34" i="22"/>
  <c r="ER34" i="22"/>
  <c r="EU34" i="22" s="1"/>
  <c r="ET34" i="22"/>
  <c r="ES47" i="22"/>
  <c r="ES64" i="22"/>
  <c r="ES68" i="22"/>
  <c r="EW47" i="22"/>
  <c r="ET47" i="22"/>
  <c r="EV42" i="22"/>
  <c r="ES42" i="22"/>
  <c r="CC42" i="22"/>
  <c r="EX42" i="22"/>
  <c r="ET68" i="22"/>
  <c r="ET72" i="22"/>
  <c r="ER72" i="22"/>
  <c r="ET64" i="22"/>
  <c r="EU68" i="22"/>
  <c r="EW61" i="22"/>
  <c r="ER68" i="22"/>
  <c r="ER64" i="22"/>
  <c r="EV64" i="22"/>
  <c r="EV68" i="22"/>
  <c r="EW64" i="22"/>
  <c r="ER43" i="22"/>
  <c r="EU64" i="22"/>
  <c r="EZ51" i="23"/>
  <c r="FB51" i="23"/>
  <c r="FD33" i="23"/>
  <c r="FF33" i="23" s="1"/>
  <c r="EZ33" i="23"/>
  <c r="CD33" i="23"/>
  <c r="FB33" i="23"/>
  <c r="ER62" i="22"/>
  <c r="EW62" i="22"/>
  <c r="ES43" i="22"/>
  <c r="EU43" i="22" s="1"/>
  <c r="CC43" i="22"/>
  <c r="ES62" i="22"/>
  <c r="EU62" i="22" s="1"/>
  <c r="EW43" i="22"/>
  <c r="ER44" i="22"/>
  <c r="EV43" i="22"/>
  <c r="ET43" i="22"/>
  <c r="ET62" i="22"/>
  <c r="EX62" i="22"/>
  <c r="ET38" i="22"/>
  <c r="EV38" i="22"/>
  <c r="CC38" i="22"/>
  <c r="ER38" i="22"/>
  <c r="EU38" i="22" s="1"/>
  <c r="ES38" i="22"/>
  <c r="EW38" i="22"/>
  <c r="EX38" i="22"/>
  <c r="ET61" i="22"/>
  <c r="ES61" i="22"/>
  <c r="CC37" i="22"/>
  <c r="EX61" i="22"/>
  <c r="EV61" i="22"/>
  <c r="EX72" i="22"/>
  <c r="EU36" i="22"/>
  <c r="EX63" i="22"/>
  <c r="EV37" i="22"/>
  <c r="EW63" i="22"/>
  <c r="EV63" i="22"/>
  <c r="ET37" i="22"/>
  <c r="EV72" i="22"/>
  <c r="ET63" i="22"/>
  <c r="EU72" i="22"/>
  <c r="EV60" i="22"/>
  <c r="EX60" i="22"/>
  <c r="EW72" i="22"/>
  <c r="EW60" i="22"/>
  <c r="ES60" i="22"/>
  <c r="EU60" i="22" s="1"/>
  <c r="EU44" i="22"/>
  <c r="ET44" i="22"/>
  <c r="ER37" i="22"/>
  <c r="ES55" i="22"/>
  <c r="EW37" i="22"/>
  <c r="EX37" i="22"/>
  <c r="EX44" i="22"/>
  <c r="EW44" i="22"/>
  <c r="ES44" i="22"/>
  <c r="EV44" i="22"/>
  <c r="ET30" i="22"/>
  <c r="EX30" i="22"/>
  <c r="EV30" i="22"/>
  <c r="CC30" i="22"/>
  <c r="EY66" i="22"/>
  <c r="FD66" i="22" s="1"/>
  <c r="ER30" i="22"/>
  <c r="ES30" i="22"/>
  <c r="FF53" i="23"/>
  <c r="CE53" i="23" s="1"/>
  <c r="FD35" i="23"/>
  <c r="ET54" i="22"/>
  <c r="ES54" i="22"/>
  <c r="FC54" i="23"/>
  <c r="EV54" i="22"/>
  <c r="EX54" i="22"/>
  <c r="EW54" i="22"/>
  <c r="FC51" i="23"/>
  <c r="FF51" i="23" s="1"/>
  <c r="FL51" i="23" s="1"/>
  <c r="CD51" i="23"/>
  <c r="EY51" i="23"/>
  <c r="FF49" i="23"/>
  <c r="FJ49" i="23" s="1"/>
  <c r="FH47" i="23"/>
  <c r="FJ47" i="23"/>
  <c r="EZ35" i="23"/>
  <c r="CD35" i="23"/>
  <c r="ET26" i="23"/>
  <c r="ER26" i="23"/>
  <c r="EU26" i="23"/>
  <c r="FC35" i="23"/>
  <c r="EV26" i="23"/>
  <c r="FB35" i="23"/>
  <c r="EQ26" i="23"/>
  <c r="FF27" i="23"/>
  <c r="CE27" i="23" s="1"/>
  <c r="ET55" i="22"/>
  <c r="EW55" i="22"/>
  <c r="EU61" i="22"/>
  <c r="EX55" i="22"/>
  <c r="EY58" i="22"/>
  <c r="ET40" i="22"/>
  <c r="EW31" i="22"/>
  <c r="CC31" i="22"/>
  <c r="ER40" i="22"/>
  <c r="EU40" i="22" s="1"/>
  <c r="EV40" i="22"/>
  <c r="ES40" i="22"/>
  <c r="EW40" i="22"/>
  <c r="EX40" i="22"/>
  <c r="ER31" i="22"/>
  <c r="ES31" i="22"/>
  <c r="EU31" i="22" s="1"/>
  <c r="EV55" i="22"/>
  <c r="EV31" i="22"/>
  <c r="ER55" i="22"/>
  <c r="EX31" i="22"/>
  <c r="CC48" i="22"/>
  <c r="EV48" i="22"/>
  <c r="ES48" i="22"/>
  <c r="EW48" i="22"/>
  <c r="EU48" i="22"/>
  <c r="ET48" i="22"/>
  <c r="ER48" i="22"/>
  <c r="FL56" i="23"/>
  <c r="FG56" i="23"/>
  <c r="FK56" i="23"/>
  <c r="FH56" i="23"/>
  <c r="FJ56" i="23"/>
  <c r="CE56" i="23"/>
  <c r="CC55" i="23"/>
  <c r="EU55" i="23"/>
  <c r="EX55" i="23" s="1"/>
  <c r="ER55" i="23"/>
  <c r="ET55" i="23"/>
  <c r="EQ55" i="23"/>
  <c r="EZ30" i="23"/>
  <c r="FF32" i="23"/>
  <c r="FK32" i="23" s="1"/>
  <c r="EY33" i="22"/>
  <c r="FG47" i="23"/>
  <c r="CE47" i="23"/>
  <c r="FK47" i="23"/>
  <c r="FN47" i="23" s="1"/>
  <c r="FN50" i="23"/>
  <c r="FR50" i="23" s="1"/>
  <c r="CD30" i="23"/>
  <c r="EY30" i="23"/>
  <c r="FB30" i="23"/>
  <c r="FC30" i="23"/>
  <c r="FF30" i="23" s="1"/>
  <c r="EQ48" i="23"/>
  <c r="ER48" i="23"/>
  <c r="EU48" i="23"/>
  <c r="CC48" i="23"/>
  <c r="EV48" i="23"/>
  <c r="ET48" i="23"/>
  <c r="EY39" i="22"/>
  <c r="Q51" i="23" l="1"/>
  <c r="R51" i="23" s="1"/>
  <c r="Q32" i="23"/>
  <c r="R32" i="23" s="1"/>
  <c r="Q55" i="23"/>
  <c r="R55" i="23" s="1"/>
  <c r="Q50" i="23"/>
  <c r="R50" i="23" s="1"/>
  <c r="Q28" i="23"/>
  <c r="R28" i="23" s="1"/>
  <c r="Q56" i="23"/>
  <c r="R56" i="23" s="1"/>
  <c r="Q33" i="23"/>
  <c r="R33" i="23" s="1"/>
  <c r="Q31" i="23"/>
  <c r="R31" i="23" s="1"/>
  <c r="Q48" i="23"/>
  <c r="R48" i="23" s="1"/>
  <c r="Q34" i="23"/>
  <c r="R34" i="23" s="1"/>
  <c r="Q30" i="23"/>
  <c r="R30" i="23" s="1"/>
  <c r="AH19" i="22"/>
  <c r="Q49" i="23"/>
  <c r="R49" i="23" s="1"/>
  <c r="Q47" i="23"/>
  <c r="R47" i="23" s="1"/>
  <c r="Q26" i="23"/>
  <c r="R26" i="23" s="1"/>
  <c r="Q27" i="23"/>
  <c r="R27" i="23" s="1"/>
  <c r="Q29" i="23"/>
  <c r="R29" i="23" s="1"/>
  <c r="Q54" i="23"/>
  <c r="R54" i="23" s="1"/>
  <c r="Q53" i="23"/>
  <c r="R53" i="23" s="1"/>
  <c r="Q35" i="23"/>
  <c r="R35" i="23" s="1"/>
  <c r="FB34" i="23"/>
  <c r="FD52" i="23"/>
  <c r="FF52" i="23" s="1"/>
  <c r="FB52" i="23"/>
  <c r="EZ52" i="23"/>
  <c r="EY52" i="23"/>
  <c r="CD34" i="23"/>
  <c r="EZ34" i="23"/>
  <c r="FD34" i="23"/>
  <c r="FC34" i="23"/>
  <c r="EY32" i="22"/>
  <c r="FB32" i="22" s="1"/>
  <c r="CD54" i="23"/>
  <c r="EY59" i="22"/>
  <c r="FD59" i="22" s="1"/>
  <c r="FD54" i="23"/>
  <c r="FF54" i="23" s="1"/>
  <c r="EZ54" i="23"/>
  <c r="EY41" i="22"/>
  <c r="CD41" i="22" s="1"/>
  <c r="EY54" i="23"/>
  <c r="EY69" i="22"/>
  <c r="FF69" i="22" s="1"/>
  <c r="EY73" i="22"/>
  <c r="FC73" i="22" s="1"/>
  <c r="EY70" i="22"/>
  <c r="FC70" i="22" s="1"/>
  <c r="FB65" i="22"/>
  <c r="FL53" i="23"/>
  <c r="FF31" i="23"/>
  <c r="FK31" i="23" s="1"/>
  <c r="EY67" i="22"/>
  <c r="FE67" i="22" s="1"/>
  <c r="EY56" i="22"/>
  <c r="FD56" i="22" s="1"/>
  <c r="EY46" i="22"/>
  <c r="FE46" i="22" s="1"/>
  <c r="FD65" i="22"/>
  <c r="FE65" i="22"/>
  <c r="FF65" i="22"/>
  <c r="FA65" i="22"/>
  <c r="FC65" i="22" s="1"/>
  <c r="FJ53" i="23"/>
  <c r="FG49" i="23"/>
  <c r="FG53" i="23"/>
  <c r="FK53" i="23"/>
  <c r="EY49" i="22"/>
  <c r="EZ49" i="22" s="1"/>
  <c r="EY57" i="22"/>
  <c r="FB57" i="22" s="1"/>
  <c r="FJ28" i="23"/>
  <c r="FC58" i="22"/>
  <c r="CE28" i="23"/>
  <c r="FK28" i="23"/>
  <c r="FL28" i="23"/>
  <c r="FG28" i="23"/>
  <c r="EY47" i="22"/>
  <c r="FF47" i="22" s="1"/>
  <c r="EY35" i="22"/>
  <c r="FC35" i="22" s="1"/>
  <c r="EY68" i="22"/>
  <c r="FD68" i="22" s="1"/>
  <c r="EY71" i="22"/>
  <c r="FD71" i="22" s="1"/>
  <c r="EY34" i="22"/>
  <c r="FB34" i="22" s="1"/>
  <c r="FG51" i="23"/>
  <c r="FK51" i="23"/>
  <c r="FN51" i="23" s="1"/>
  <c r="CF51" i="23" s="1"/>
  <c r="CE29" i="23"/>
  <c r="FL29" i="23"/>
  <c r="FK29" i="23"/>
  <c r="FH29" i="23"/>
  <c r="FG29" i="23"/>
  <c r="EY62" i="22"/>
  <c r="FB62" i="22" s="1"/>
  <c r="FJ27" i="23"/>
  <c r="FK27" i="23"/>
  <c r="FH27" i="23"/>
  <c r="EY42" i="22"/>
  <c r="EZ42" i="22" s="1"/>
  <c r="FC42" i="22" s="1"/>
  <c r="EU55" i="22"/>
  <c r="EU54" i="22"/>
  <c r="EU30" i="22"/>
  <c r="EY64" i="22"/>
  <c r="FE64" i="22" s="1"/>
  <c r="EY37" i="22"/>
  <c r="CD37" i="22" s="1"/>
  <c r="EY61" i="22"/>
  <c r="FA61" i="22" s="1"/>
  <c r="EY43" i="22"/>
  <c r="FA43" i="22" s="1"/>
  <c r="EY63" i="22"/>
  <c r="FA63" i="22" s="1"/>
  <c r="FH51" i="23"/>
  <c r="CE51" i="23"/>
  <c r="FJ51" i="23"/>
  <c r="CE33" i="23"/>
  <c r="FG33" i="23"/>
  <c r="FJ33" i="23"/>
  <c r="FK33" i="23"/>
  <c r="FL33" i="23"/>
  <c r="FH33" i="23"/>
  <c r="EY38" i="22"/>
  <c r="FH53" i="23"/>
  <c r="EY60" i="22"/>
  <c r="EZ60" i="22" s="1"/>
  <c r="EY72" i="22"/>
  <c r="FE72" i="22" s="1"/>
  <c r="EY44" i="22"/>
  <c r="FD44" i="22" s="1"/>
  <c r="EY30" i="22"/>
  <c r="CD30" i="22" s="1"/>
  <c r="FB66" i="22"/>
  <c r="FE66" i="22"/>
  <c r="EZ66" i="22"/>
  <c r="FC66" i="22" s="1"/>
  <c r="FA66" i="22"/>
  <c r="FF66" i="22"/>
  <c r="EZ36" i="22"/>
  <c r="FF45" i="22"/>
  <c r="FD45" i="22"/>
  <c r="CD45" i="22"/>
  <c r="FA45" i="22"/>
  <c r="FC45" i="22"/>
  <c r="FB36" i="22"/>
  <c r="FB45" i="22"/>
  <c r="FF36" i="22"/>
  <c r="FE45" i="22"/>
  <c r="FF58" i="22"/>
  <c r="FD58" i="22"/>
  <c r="FB58" i="22"/>
  <c r="FA58" i="22"/>
  <c r="FE36" i="22"/>
  <c r="FC36" i="22"/>
  <c r="CD36" i="22"/>
  <c r="FE58" i="22"/>
  <c r="FD36" i="22"/>
  <c r="EZ58" i="22"/>
  <c r="CC27" i="22"/>
  <c r="FH49" i="23"/>
  <c r="CE49" i="23"/>
  <c r="FL49" i="23"/>
  <c r="FF35" i="23"/>
  <c r="FK35" i="23" s="1"/>
  <c r="FG27" i="23"/>
  <c r="EY54" i="22"/>
  <c r="EY55" i="22"/>
  <c r="CC44" i="23"/>
  <c r="FK49" i="23"/>
  <c r="CF50" i="23"/>
  <c r="FL27" i="23"/>
  <c r="CE32" i="23"/>
  <c r="FH32" i="23"/>
  <c r="FL32" i="23"/>
  <c r="FN32" i="23" s="1"/>
  <c r="EX26" i="23"/>
  <c r="EY26" i="23" s="1"/>
  <c r="FJ32" i="23"/>
  <c r="FG32" i="23"/>
  <c r="EY40" i="22"/>
  <c r="FC40" i="22" s="1"/>
  <c r="FF32" i="22"/>
  <c r="EY31" i="22"/>
  <c r="FB31" i="22" s="1"/>
  <c r="FE32" i="22"/>
  <c r="EY48" i="22"/>
  <c r="FN56" i="23"/>
  <c r="FS50" i="23"/>
  <c r="FT50" i="23"/>
  <c r="FO50" i="23"/>
  <c r="FP50" i="23"/>
  <c r="FF33" i="22"/>
  <c r="CD33" i="22"/>
  <c r="FE33" i="22"/>
  <c r="FB33" i="22"/>
  <c r="FD33" i="22"/>
  <c r="FA33" i="22"/>
  <c r="EZ33" i="22"/>
  <c r="FC33" i="22" s="1"/>
  <c r="FH30" i="23"/>
  <c r="FK30" i="23"/>
  <c r="FG30" i="23"/>
  <c r="CE30" i="23"/>
  <c r="FL30" i="23"/>
  <c r="FJ30" i="23"/>
  <c r="EX48" i="23"/>
  <c r="FB55" i="23"/>
  <c r="EY55" i="23"/>
  <c r="FC55" i="23"/>
  <c r="EZ55" i="23"/>
  <c r="FD55" i="23"/>
  <c r="CD55" i="23"/>
  <c r="FF39" i="22"/>
  <c r="FB39" i="22"/>
  <c r="CD39" i="22"/>
  <c r="EZ39" i="22"/>
  <c r="FC39" i="22" s="1"/>
  <c r="FD39" i="22"/>
  <c r="FE39" i="22"/>
  <c r="FA39" i="22"/>
  <c r="FR47" i="23"/>
  <c r="FP47" i="23"/>
  <c r="FT47" i="23"/>
  <c r="CF47" i="23"/>
  <c r="FS47" i="23"/>
  <c r="FO47" i="23"/>
  <c r="FD73" i="22" l="1"/>
  <c r="CD32" i="22"/>
  <c r="FC32" i="22"/>
  <c r="FF34" i="23"/>
  <c r="FH34" i="23" s="1"/>
  <c r="FH52" i="23"/>
  <c r="FJ52" i="23"/>
  <c r="FL52" i="23"/>
  <c r="FK52" i="23"/>
  <c r="CE52" i="23"/>
  <c r="FG52" i="23"/>
  <c r="FJ31" i="23"/>
  <c r="FB73" i="22"/>
  <c r="FD32" i="22"/>
  <c r="FG32" i="22" s="1"/>
  <c r="FF73" i="22"/>
  <c r="FA34" i="22"/>
  <c r="FA32" i="22"/>
  <c r="EZ32" i="22"/>
  <c r="FF59" i="22"/>
  <c r="FA73" i="22"/>
  <c r="FB69" i="22"/>
  <c r="EZ73" i="22"/>
  <c r="FA41" i="22"/>
  <c r="EZ41" i="22"/>
  <c r="FC41" i="22" s="1"/>
  <c r="FE59" i="22"/>
  <c r="FE34" i="22"/>
  <c r="FD34" i="22"/>
  <c r="FF70" i="22"/>
  <c r="FD70" i="22"/>
  <c r="FE70" i="22"/>
  <c r="EZ34" i="22"/>
  <c r="FC34" i="22" s="1"/>
  <c r="FA70" i="22"/>
  <c r="FB59" i="22"/>
  <c r="FA59" i="22"/>
  <c r="FB41" i="22"/>
  <c r="EZ70" i="22"/>
  <c r="EZ59" i="22"/>
  <c r="FE41" i="22"/>
  <c r="FF41" i="22"/>
  <c r="FD69" i="22"/>
  <c r="FG69" i="22" s="1"/>
  <c r="FN69" i="22" s="1"/>
  <c r="FB70" i="22"/>
  <c r="FC59" i="22"/>
  <c r="FD41" i="22"/>
  <c r="CE31" i="23"/>
  <c r="CE54" i="23"/>
  <c r="FG54" i="23"/>
  <c r="FH54" i="23"/>
  <c r="FL54" i="23"/>
  <c r="FK54" i="23"/>
  <c r="FJ54" i="23"/>
  <c r="FP51" i="23"/>
  <c r="FN53" i="23"/>
  <c r="FO53" i="23" s="1"/>
  <c r="FE69" i="22"/>
  <c r="FC69" i="22"/>
  <c r="FA69" i="22"/>
  <c r="EZ69" i="22"/>
  <c r="FH31" i="23"/>
  <c r="FA67" i="22"/>
  <c r="FF67" i="22"/>
  <c r="FC60" i="22"/>
  <c r="FE73" i="22"/>
  <c r="CD34" i="22"/>
  <c r="FF34" i="22"/>
  <c r="FD46" i="22"/>
  <c r="EZ46" i="22"/>
  <c r="FF46" i="22"/>
  <c r="FC46" i="22"/>
  <c r="FA56" i="22"/>
  <c r="FB46" i="22"/>
  <c r="EZ56" i="22"/>
  <c r="CD46" i="22"/>
  <c r="FF56" i="22"/>
  <c r="FA46" i="22"/>
  <c r="CD49" i="22"/>
  <c r="EZ47" i="22"/>
  <c r="FD49" i="22"/>
  <c r="FD47" i="22"/>
  <c r="FB56" i="22"/>
  <c r="FE56" i="22"/>
  <c r="FF49" i="22"/>
  <c r="FF35" i="22"/>
  <c r="FD67" i="22"/>
  <c r="EZ67" i="22"/>
  <c r="FB67" i="22"/>
  <c r="FL31" i="23"/>
  <c r="FN31" i="23" s="1"/>
  <c r="FS31" i="23" s="1"/>
  <c r="FG31" i="23"/>
  <c r="FB47" i="22"/>
  <c r="FA49" i="22"/>
  <c r="FB49" i="22"/>
  <c r="CD47" i="22"/>
  <c r="FE49" i="22"/>
  <c r="FG65" i="22"/>
  <c r="FM65" i="22" s="1"/>
  <c r="FC49" i="22"/>
  <c r="FD57" i="22"/>
  <c r="FO51" i="23"/>
  <c r="FS51" i="23"/>
  <c r="FT51" i="23"/>
  <c r="FR51" i="23"/>
  <c r="FN28" i="23"/>
  <c r="FO28" i="23" s="1"/>
  <c r="EZ57" i="22"/>
  <c r="FC57" i="22" s="1"/>
  <c r="FE57" i="22"/>
  <c r="FD35" i="22"/>
  <c r="FA57" i="22"/>
  <c r="FF57" i="22"/>
  <c r="FA71" i="22"/>
  <c r="FC71" i="22"/>
  <c r="FC47" i="22"/>
  <c r="FN27" i="23"/>
  <c r="FO27" i="23" s="1"/>
  <c r="FA35" i="22"/>
  <c r="FB68" i="22"/>
  <c r="FB35" i="22"/>
  <c r="EZ71" i="22"/>
  <c r="FB71" i="22"/>
  <c r="FE71" i="22"/>
  <c r="FE47" i="22"/>
  <c r="FF71" i="22"/>
  <c r="FA47" i="22"/>
  <c r="FE35" i="22"/>
  <c r="CD35" i="22"/>
  <c r="EZ35" i="22"/>
  <c r="EZ68" i="22"/>
  <c r="FF68" i="22"/>
  <c r="FC68" i="22"/>
  <c r="FE68" i="22"/>
  <c r="FA68" i="22"/>
  <c r="FN29" i="23"/>
  <c r="FT29" i="23" s="1"/>
  <c r="FF37" i="22"/>
  <c r="FE61" i="22"/>
  <c r="FB61" i="22"/>
  <c r="FD61" i="22"/>
  <c r="FA37" i="22"/>
  <c r="FE37" i="22"/>
  <c r="FE62" i="22"/>
  <c r="FD62" i="22"/>
  <c r="FA62" i="22"/>
  <c r="EZ62" i="22"/>
  <c r="FC62" i="22" s="1"/>
  <c r="FF62" i="22"/>
  <c r="FA60" i="22"/>
  <c r="FG35" i="23"/>
  <c r="FF42" i="22"/>
  <c r="FB42" i="22"/>
  <c r="FA42" i="22"/>
  <c r="FD42" i="22"/>
  <c r="CD42" i="22"/>
  <c r="FE42" i="22"/>
  <c r="FJ35" i="23"/>
  <c r="FL35" i="23"/>
  <c r="FN35" i="23" s="1"/>
  <c r="FR35" i="23" s="1"/>
  <c r="CE35" i="23"/>
  <c r="EZ37" i="22"/>
  <c r="FC37" i="22" s="1"/>
  <c r="FD37" i="22"/>
  <c r="FB60" i="22"/>
  <c r="FD63" i="22"/>
  <c r="FE60" i="22"/>
  <c r="FB37" i="22"/>
  <c r="FF60" i="22"/>
  <c r="FF61" i="22"/>
  <c r="EZ61" i="22"/>
  <c r="FC61" i="22" s="1"/>
  <c r="EZ64" i="22"/>
  <c r="FC64" i="22" s="1"/>
  <c r="FC56" i="22"/>
  <c r="FF63" i="22"/>
  <c r="CD43" i="22"/>
  <c r="FF64" i="22"/>
  <c r="FA64" i="22"/>
  <c r="FE63" i="22"/>
  <c r="EZ63" i="22"/>
  <c r="FC63" i="22" s="1"/>
  <c r="FB64" i="22"/>
  <c r="FD64" i="22"/>
  <c r="FB43" i="22"/>
  <c r="FF43" i="22"/>
  <c r="EZ43" i="22"/>
  <c r="FC43" i="22" s="1"/>
  <c r="FE43" i="22"/>
  <c r="FD60" i="22"/>
  <c r="FD43" i="22"/>
  <c r="FB63" i="22"/>
  <c r="FD72" i="22"/>
  <c r="FN33" i="23"/>
  <c r="FC72" i="22"/>
  <c r="FD38" i="22"/>
  <c r="FF38" i="22"/>
  <c r="FB38" i="22"/>
  <c r="FA38" i="22"/>
  <c r="CD38" i="22"/>
  <c r="EZ38" i="22"/>
  <c r="FC38" i="22" s="1"/>
  <c r="FE38" i="22"/>
  <c r="FN49" i="23"/>
  <c r="FT49" i="23" s="1"/>
  <c r="FH35" i="23"/>
  <c r="FA72" i="22"/>
  <c r="EZ72" i="22"/>
  <c r="FB72" i="22"/>
  <c r="FF72" i="22"/>
  <c r="FB30" i="22"/>
  <c r="FA44" i="22"/>
  <c r="FB44" i="22"/>
  <c r="FE44" i="22"/>
  <c r="EZ44" i="22"/>
  <c r="FC44" i="22"/>
  <c r="FF44" i="22"/>
  <c r="CD44" i="22"/>
  <c r="FE30" i="22"/>
  <c r="FF30" i="22"/>
  <c r="FG36" i="22"/>
  <c r="FM36" i="22" s="1"/>
  <c r="FD30" i="22"/>
  <c r="FG45" i="22"/>
  <c r="FI45" i="22" s="1"/>
  <c r="FA31" i="22"/>
  <c r="FG58" i="22"/>
  <c r="FG66" i="22"/>
  <c r="FL66" i="22" s="1"/>
  <c r="FA30" i="22"/>
  <c r="EZ30" i="22"/>
  <c r="FF31" i="22"/>
  <c r="CD31" i="22"/>
  <c r="FB54" i="22"/>
  <c r="FD54" i="22"/>
  <c r="EZ54" i="22"/>
  <c r="FC54" i="22" s="1"/>
  <c r="FE54" i="22"/>
  <c r="FF54" i="22"/>
  <c r="FA54" i="22"/>
  <c r="FB55" i="22"/>
  <c r="FF55" i="22"/>
  <c r="EZ55" i="22"/>
  <c r="FA55" i="22"/>
  <c r="FE55" i="22"/>
  <c r="FD55" i="22"/>
  <c r="FB26" i="23"/>
  <c r="CD26" i="23"/>
  <c r="CD23" i="23" s="1"/>
  <c r="FC26" i="23"/>
  <c r="FD26" i="23"/>
  <c r="CD40" i="22"/>
  <c r="FB40" i="22"/>
  <c r="FE40" i="22"/>
  <c r="FF40" i="22"/>
  <c r="EZ40" i="22"/>
  <c r="FA40" i="22"/>
  <c r="FD40" i="22"/>
  <c r="EZ26" i="23"/>
  <c r="FE31" i="22"/>
  <c r="FD31" i="22"/>
  <c r="EZ31" i="22"/>
  <c r="FB48" i="22"/>
  <c r="CD48" i="22"/>
  <c r="FF48" i="22"/>
  <c r="FA48" i="22"/>
  <c r="EZ48" i="22"/>
  <c r="FE48" i="22"/>
  <c r="FC48" i="22"/>
  <c r="FD48" i="22"/>
  <c r="FV50" i="23"/>
  <c r="GA50" i="23" s="1"/>
  <c r="FR56" i="23"/>
  <c r="FT56" i="23"/>
  <c r="FO56" i="23"/>
  <c r="FP56" i="23"/>
  <c r="CF56" i="23"/>
  <c r="FS56" i="23"/>
  <c r="FN30" i="23"/>
  <c r="FT30" i="23" s="1"/>
  <c r="FG33" i="22"/>
  <c r="FC67" i="22"/>
  <c r="FF55" i="23"/>
  <c r="FD48" i="23"/>
  <c r="FB48" i="23"/>
  <c r="EZ48" i="23"/>
  <c r="FC48" i="23"/>
  <c r="EY48" i="23"/>
  <c r="CD48" i="23"/>
  <c r="FV47" i="23"/>
  <c r="FX47" i="23" s="1"/>
  <c r="FG39" i="22"/>
  <c r="CF32" i="23"/>
  <c r="FR32" i="23"/>
  <c r="FO32" i="23"/>
  <c r="FP32" i="23"/>
  <c r="FS32" i="23"/>
  <c r="FT32" i="23"/>
  <c r="FK34" i="23" l="1"/>
  <c r="FL34" i="23"/>
  <c r="FG34" i="23"/>
  <c r="FJ34" i="23"/>
  <c r="FN52" i="23"/>
  <c r="CF52" i="23" s="1"/>
  <c r="CE34" i="23"/>
  <c r="FT53" i="23"/>
  <c r="FG73" i="22"/>
  <c r="FK73" i="22" s="1"/>
  <c r="FG59" i="22"/>
  <c r="FI59" i="22" s="1"/>
  <c r="FG34" i="22"/>
  <c r="CE34" i="22" s="1"/>
  <c r="FG70" i="22"/>
  <c r="FK70" i="22" s="1"/>
  <c r="FG41" i="22"/>
  <c r="FJ41" i="22" s="1"/>
  <c r="FV51" i="23"/>
  <c r="GB51" i="23" s="1"/>
  <c r="FN54" i="23"/>
  <c r="FP54" i="23" s="1"/>
  <c r="FR53" i="23"/>
  <c r="FS53" i="23"/>
  <c r="CF53" i="23"/>
  <c r="FP53" i="23"/>
  <c r="FG67" i="22"/>
  <c r="FL67" i="22" s="1"/>
  <c r="FR31" i="23"/>
  <c r="FT31" i="23"/>
  <c r="FV31" i="23" s="1"/>
  <c r="FP31" i="23"/>
  <c r="CF31" i="23"/>
  <c r="FO31" i="23"/>
  <c r="FG46" i="22"/>
  <c r="FN46" i="22" s="1"/>
  <c r="FG35" i="22"/>
  <c r="FL35" i="22" s="1"/>
  <c r="FG47" i="22"/>
  <c r="FI47" i="22" s="1"/>
  <c r="FG56" i="22"/>
  <c r="FN56" i="22" s="1"/>
  <c r="FG49" i="22"/>
  <c r="FL49" i="22" s="1"/>
  <c r="FN65" i="22"/>
  <c r="FL65" i="22"/>
  <c r="FI65" i="22"/>
  <c r="FH65" i="22"/>
  <c r="FK65" i="22" s="1"/>
  <c r="FJ65" i="22"/>
  <c r="FG57" i="22"/>
  <c r="FH57" i="22" s="1"/>
  <c r="FT27" i="23"/>
  <c r="FR49" i="23"/>
  <c r="FP49" i="23"/>
  <c r="CF49" i="23"/>
  <c r="FP28" i="23"/>
  <c r="FR28" i="23"/>
  <c r="CF28" i="23"/>
  <c r="FS28" i="23"/>
  <c r="FT28" i="23"/>
  <c r="FR27" i="23"/>
  <c r="CF29" i="23"/>
  <c r="FR29" i="23"/>
  <c r="FS29" i="23"/>
  <c r="FV29" i="23" s="1"/>
  <c r="FX29" i="23" s="1"/>
  <c r="FP29" i="23"/>
  <c r="CF35" i="23"/>
  <c r="FO29" i="23"/>
  <c r="FG68" i="22"/>
  <c r="FK68" i="22" s="1"/>
  <c r="FG71" i="22"/>
  <c r="FK71" i="22" s="1"/>
  <c r="CF27" i="23"/>
  <c r="FS27" i="23"/>
  <c r="FP27" i="23"/>
  <c r="FO35" i="23"/>
  <c r="FC55" i="22"/>
  <c r="FT35" i="23"/>
  <c r="FP35" i="23"/>
  <c r="FS35" i="23"/>
  <c r="FG61" i="22"/>
  <c r="FL61" i="22" s="1"/>
  <c r="FG37" i="22"/>
  <c r="FN37" i="22" s="1"/>
  <c r="FG42" i="22"/>
  <c r="FI42" i="22" s="1"/>
  <c r="FG62" i="22"/>
  <c r="FN62" i="22" s="1"/>
  <c r="FG72" i="22"/>
  <c r="FL72" i="22" s="1"/>
  <c r="FS49" i="23"/>
  <c r="FV49" i="23" s="1"/>
  <c r="FO49" i="23"/>
  <c r="FG60" i="22"/>
  <c r="FK60" i="22" s="1"/>
  <c r="FG63" i="22"/>
  <c r="FH63" i="22" s="1"/>
  <c r="FK63" i="22" s="1"/>
  <c r="FC31" i="22"/>
  <c r="FC30" i="22"/>
  <c r="FG64" i="22"/>
  <c r="FM64" i="22" s="1"/>
  <c r="FG43" i="22"/>
  <c r="FL43" i="22" s="1"/>
  <c r="FR33" i="23"/>
  <c r="FS33" i="23"/>
  <c r="CF33" i="23"/>
  <c r="FO33" i="23"/>
  <c r="FP33" i="23"/>
  <c r="FT33" i="23"/>
  <c r="FG38" i="22"/>
  <c r="FF26" i="23"/>
  <c r="CE26" i="23" s="1"/>
  <c r="CE23" i="23" s="1"/>
  <c r="FH45" i="22"/>
  <c r="FL45" i="22"/>
  <c r="FG44" i="22"/>
  <c r="FM44" i="22" s="1"/>
  <c r="FM45" i="22"/>
  <c r="FJ36" i="22"/>
  <c r="FG30" i="22"/>
  <c r="FL30" i="22" s="1"/>
  <c r="FL36" i="22"/>
  <c r="FN36" i="22"/>
  <c r="FH36" i="22"/>
  <c r="FI36" i="22"/>
  <c r="CE36" i="22"/>
  <c r="FK36" i="22"/>
  <c r="FN45" i="22"/>
  <c r="FK45" i="22"/>
  <c r="FJ45" i="22"/>
  <c r="CE45" i="22"/>
  <c r="FL58" i="22"/>
  <c r="FN58" i="22"/>
  <c r="FJ66" i="22"/>
  <c r="FH66" i="22"/>
  <c r="FK66" i="22" s="1"/>
  <c r="FM66" i="22"/>
  <c r="FN66" i="22"/>
  <c r="FI66" i="22"/>
  <c r="FJ58" i="22"/>
  <c r="FK58" i="22" s="1"/>
  <c r="FH58" i="22"/>
  <c r="FI58" i="22"/>
  <c r="FM58" i="22"/>
  <c r="FJ69" i="22"/>
  <c r="FG54" i="22"/>
  <c r="FH54" i="22" s="1"/>
  <c r="FL69" i="22"/>
  <c r="FH69" i="22"/>
  <c r="FK69" i="22"/>
  <c r="FM69" i="22"/>
  <c r="FI69" i="22"/>
  <c r="CD27" i="22"/>
  <c r="FJ32" i="22"/>
  <c r="FG31" i="22"/>
  <c r="FH31" i="22" s="1"/>
  <c r="FG55" i="22"/>
  <c r="FV56" i="23"/>
  <c r="GA56" i="23" s="1"/>
  <c r="FG40" i="22"/>
  <c r="FH40" i="22" s="1"/>
  <c r="FK40" i="22" s="1"/>
  <c r="GB50" i="23"/>
  <c r="GD50" i="23" s="1"/>
  <c r="FX50" i="23"/>
  <c r="FZ50" i="23"/>
  <c r="CF30" i="23"/>
  <c r="FS30" i="23"/>
  <c r="FV30" i="23" s="1"/>
  <c r="FX30" i="23" s="1"/>
  <c r="FO30" i="23"/>
  <c r="FP30" i="23"/>
  <c r="FR30" i="23"/>
  <c r="FL32" i="22"/>
  <c r="FM32" i="22"/>
  <c r="FN32" i="22"/>
  <c r="FI32" i="22"/>
  <c r="FH32" i="22"/>
  <c r="CE32" i="22"/>
  <c r="FG48" i="22"/>
  <c r="FM59" i="22"/>
  <c r="FL59" i="22"/>
  <c r="FJ59" i="22"/>
  <c r="FW50" i="23"/>
  <c r="FR52" i="23"/>
  <c r="FP52" i="23"/>
  <c r="CE33" i="22"/>
  <c r="FN33" i="22"/>
  <c r="FH33" i="22"/>
  <c r="FI33" i="22"/>
  <c r="FK33" i="22" s="1"/>
  <c r="FJ33" i="22"/>
  <c r="FL33" i="22"/>
  <c r="FM33" i="22"/>
  <c r="CD44" i="23"/>
  <c r="FZ47" i="23"/>
  <c r="FW47" i="23"/>
  <c r="GA47" i="23"/>
  <c r="GB47" i="23"/>
  <c r="FF48" i="23"/>
  <c r="CE55" i="23"/>
  <c r="FK55" i="23"/>
  <c r="FH55" i="23"/>
  <c r="FJ55" i="23"/>
  <c r="FL55" i="23"/>
  <c r="FG55" i="23"/>
  <c r="FV32" i="23"/>
  <c r="FX32" i="23" s="1"/>
  <c r="FR54" i="23"/>
  <c r="FS54" i="23"/>
  <c r="FK39" i="22"/>
  <c r="FH39" i="22"/>
  <c r="FL39" i="22"/>
  <c r="FN39" i="22"/>
  <c r="FI39" i="22"/>
  <c r="CE39" i="22"/>
  <c r="FM39" i="22"/>
  <c r="FJ39" i="22"/>
  <c r="FV53" i="23" l="1"/>
  <c r="FX53" i="23" s="1"/>
  <c r="FN59" i="22"/>
  <c r="FL34" i="22"/>
  <c r="FJ67" i="22"/>
  <c r="FO54" i="23"/>
  <c r="FO52" i="23"/>
  <c r="FT52" i="23"/>
  <c r="FV52" i="23" s="1"/>
  <c r="FX52" i="23" s="1"/>
  <c r="GA51" i="23"/>
  <c r="FS52" i="23"/>
  <c r="CF54" i="23"/>
  <c r="FN34" i="23"/>
  <c r="FL70" i="22"/>
  <c r="FN73" i="22"/>
  <c r="FH73" i="22"/>
  <c r="FH41" i="22"/>
  <c r="FK41" i="22" s="1"/>
  <c r="CE47" i="22"/>
  <c r="FL73" i="22"/>
  <c r="FM73" i="22"/>
  <c r="FO73" i="22" s="1"/>
  <c r="FR73" i="22" s="1"/>
  <c r="FJ73" i="22"/>
  <c r="FL41" i="22"/>
  <c r="FX51" i="23"/>
  <c r="FW51" i="23"/>
  <c r="FZ51" i="23"/>
  <c r="FI73" i="22"/>
  <c r="FH59" i="22"/>
  <c r="FK59" i="22"/>
  <c r="FJ70" i="22"/>
  <c r="FM34" i="22"/>
  <c r="CE41" i="22"/>
  <c r="FJ71" i="22"/>
  <c r="FN57" i="22"/>
  <c r="FI34" i="22"/>
  <c r="FH67" i="22"/>
  <c r="FK67" i="22" s="1"/>
  <c r="FM70" i="22"/>
  <c r="FJ34" i="22"/>
  <c r="FN34" i="22"/>
  <c r="FH34" i="22"/>
  <c r="FK34" i="22" s="1"/>
  <c r="FH70" i="22"/>
  <c r="FM47" i="22"/>
  <c r="FM57" i="22"/>
  <c r="FN70" i="22"/>
  <c r="FI57" i="22"/>
  <c r="FI70" i="22"/>
  <c r="FT54" i="23"/>
  <c r="FV54" i="23" s="1"/>
  <c r="FN41" i="22"/>
  <c r="FM41" i="22"/>
  <c r="FI41" i="22"/>
  <c r="FJ57" i="22"/>
  <c r="FK57" i="22" s="1"/>
  <c r="FL47" i="22"/>
  <c r="FI67" i="22"/>
  <c r="FH47" i="22"/>
  <c r="FM67" i="22"/>
  <c r="FK47" i="22"/>
  <c r="FN67" i="22"/>
  <c r="FL57" i="22"/>
  <c r="FK46" i="22"/>
  <c r="FN47" i="22"/>
  <c r="FJ47" i="22"/>
  <c r="FI35" i="22"/>
  <c r="FM46" i="22"/>
  <c r="FJ35" i="22"/>
  <c r="FH35" i="22"/>
  <c r="CE35" i="22"/>
  <c r="FK35" i="22"/>
  <c r="FM35" i="22"/>
  <c r="FN35" i="22"/>
  <c r="FI46" i="22"/>
  <c r="FL56" i="22"/>
  <c r="FH46" i="22"/>
  <c r="CE46" i="22"/>
  <c r="FI56" i="22"/>
  <c r="FK56" i="22" s="1"/>
  <c r="FM56" i="22"/>
  <c r="FH56" i="22"/>
  <c r="FL46" i="22"/>
  <c r="FJ46" i="22"/>
  <c r="FH60" i="22"/>
  <c r="FH71" i="22"/>
  <c r="FN49" i="22"/>
  <c r="FI49" i="22"/>
  <c r="FJ49" i="22"/>
  <c r="CE49" i="22"/>
  <c r="FM49" i="22"/>
  <c r="FK49" i="22"/>
  <c r="FM71" i="22"/>
  <c r="FH49" i="22"/>
  <c r="FO65" i="22"/>
  <c r="FQ65" i="22" s="1"/>
  <c r="FJ56" i="22"/>
  <c r="FN60" i="22"/>
  <c r="FV28" i="23"/>
  <c r="FX28" i="23" s="1"/>
  <c r="FV27" i="23"/>
  <c r="GA27" i="23" s="1"/>
  <c r="FM61" i="22"/>
  <c r="FJ61" i="22"/>
  <c r="FK61" i="22"/>
  <c r="FL71" i="22"/>
  <c r="FI60" i="22"/>
  <c r="FH62" i="22"/>
  <c r="FK62" i="22" s="1"/>
  <c r="FW49" i="23"/>
  <c r="GB49" i="23"/>
  <c r="FX49" i="23"/>
  <c r="FZ49" i="23"/>
  <c r="GB53" i="23"/>
  <c r="GA53" i="23"/>
  <c r="FW29" i="23"/>
  <c r="GB29" i="23"/>
  <c r="FI68" i="22"/>
  <c r="FJ37" i="22"/>
  <c r="FN68" i="22"/>
  <c r="FL37" i="22"/>
  <c r="FJ68" i="22"/>
  <c r="FM68" i="22"/>
  <c r="FM37" i="22"/>
  <c r="FL68" i="22"/>
  <c r="CE37" i="22"/>
  <c r="FH68" i="22"/>
  <c r="FI37" i="22"/>
  <c r="FH37" i="22"/>
  <c r="FK37" i="22"/>
  <c r="FZ29" i="23"/>
  <c r="GA29" i="23"/>
  <c r="FI71" i="22"/>
  <c r="FN71" i="22"/>
  <c r="FV35" i="23"/>
  <c r="FW35" i="23" s="1"/>
  <c r="FK32" i="22"/>
  <c r="FL60" i="22"/>
  <c r="FM60" i="22"/>
  <c r="FN61" i="22"/>
  <c r="FH61" i="22"/>
  <c r="FJ62" i="22"/>
  <c r="FI62" i="22"/>
  <c r="FL62" i="22"/>
  <c r="FI61" i="22"/>
  <c r="FM62" i="22"/>
  <c r="CE42" i="22"/>
  <c r="FL42" i="22"/>
  <c r="FH42" i="22"/>
  <c r="FK42" i="22" s="1"/>
  <c r="FJ43" i="22"/>
  <c r="FM42" i="22"/>
  <c r="FH72" i="22"/>
  <c r="FN72" i="22"/>
  <c r="FK72" i="22"/>
  <c r="FJ72" i="22"/>
  <c r="FJ42" i="22"/>
  <c r="FN42" i="22"/>
  <c r="FL44" i="22"/>
  <c r="FI72" i="22"/>
  <c r="FM72" i="22"/>
  <c r="FJ60" i="22"/>
  <c r="FZ53" i="23"/>
  <c r="FW53" i="23"/>
  <c r="GA49" i="23"/>
  <c r="FN63" i="22"/>
  <c r="FJ63" i="22"/>
  <c r="FM63" i="22"/>
  <c r="FL63" i="22"/>
  <c r="FI63" i="22"/>
  <c r="FH43" i="22"/>
  <c r="FL26" i="23"/>
  <c r="FJ64" i="22"/>
  <c r="FN43" i="22"/>
  <c r="CE43" i="22"/>
  <c r="FM43" i="22"/>
  <c r="FI64" i="22"/>
  <c r="FI43" i="22"/>
  <c r="FK64" i="22"/>
  <c r="FK43" i="22"/>
  <c r="FH64" i="22"/>
  <c r="FL64" i="22"/>
  <c r="FN64" i="22"/>
  <c r="FJ44" i="22"/>
  <c r="FI44" i="22"/>
  <c r="FK44" i="22"/>
  <c r="CE44" i="22"/>
  <c r="FN44" i="22"/>
  <c r="FO45" i="22"/>
  <c r="CF45" i="22" s="1"/>
  <c r="FL31" i="22"/>
  <c r="FN30" i="22"/>
  <c r="FH44" i="22"/>
  <c r="FO36" i="22"/>
  <c r="FR36" i="22" s="1"/>
  <c r="FH26" i="23"/>
  <c r="FV33" i="23"/>
  <c r="FK26" i="23"/>
  <c r="FJ26" i="23"/>
  <c r="FW31" i="23"/>
  <c r="GA31" i="23"/>
  <c r="FZ31" i="23"/>
  <c r="GB31" i="23"/>
  <c r="FX31" i="23"/>
  <c r="FG26" i="23"/>
  <c r="FM38" i="22"/>
  <c r="FJ38" i="22"/>
  <c r="FL38" i="22"/>
  <c r="FH38" i="22"/>
  <c r="FK38" i="22" s="1"/>
  <c r="CE38" i="22"/>
  <c r="FI38" i="22"/>
  <c r="FN38" i="22"/>
  <c r="FW56" i="23"/>
  <c r="FX56" i="23"/>
  <c r="FZ56" i="23"/>
  <c r="FJ30" i="22"/>
  <c r="FI30" i="22"/>
  <c r="CE30" i="22"/>
  <c r="FM54" i="22"/>
  <c r="FH30" i="22"/>
  <c r="FK30" i="22" s="1"/>
  <c r="FM30" i="22"/>
  <c r="CE31" i="22"/>
  <c r="FI31" i="22"/>
  <c r="FK31" i="22" s="1"/>
  <c r="FL54" i="22"/>
  <c r="FN54" i="22"/>
  <c r="FI54" i="22"/>
  <c r="FK54" i="22" s="1"/>
  <c r="FJ54" i="22"/>
  <c r="FO58" i="22"/>
  <c r="FP58" i="22" s="1"/>
  <c r="FO66" i="22"/>
  <c r="FV66" i="22" s="1"/>
  <c r="FJ31" i="22"/>
  <c r="CE40" i="22"/>
  <c r="FJ55" i="22"/>
  <c r="FH55" i="22"/>
  <c r="FO69" i="22"/>
  <c r="FT69" i="22" s="1"/>
  <c r="FN31" i="22"/>
  <c r="FM31" i="22"/>
  <c r="FM55" i="22"/>
  <c r="FI55" i="22"/>
  <c r="FN55" i="22"/>
  <c r="FL55" i="22"/>
  <c r="FN40" i="22"/>
  <c r="GB56" i="23"/>
  <c r="GD56" i="23" s="1"/>
  <c r="GF56" i="23" s="1"/>
  <c r="FL40" i="22"/>
  <c r="FO32" i="22"/>
  <c r="CF32" i="22" s="1"/>
  <c r="FJ40" i="22"/>
  <c r="FM40" i="22"/>
  <c r="FI40" i="22"/>
  <c r="GF50" i="23"/>
  <c r="GE50" i="23"/>
  <c r="GH50" i="23"/>
  <c r="CX50" i="23" s="1"/>
  <c r="CV50" i="23" s="1"/>
  <c r="CW50" i="23" s="1"/>
  <c r="FJ48" i="22"/>
  <c r="FN48" i="22"/>
  <c r="FK48" i="22"/>
  <c r="FM48" i="22"/>
  <c r="FH48" i="22"/>
  <c r="FI48" i="22"/>
  <c r="CE48" i="22"/>
  <c r="FL48" i="22"/>
  <c r="FO59" i="22"/>
  <c r="FU59" i="22" s="1"/>
  <c r="FZ30" i="23"/>
  <c r="FW30" i="23"/>
  <c r="FO33" i="22"/>
  <c r="GD47" i="23"/>
  <c r="GD51" i="23"/>
  <c r="GF51" i="23" s="1"/>
  <c r="FN55" i="23"/>
  <c r="FT55" i="23" s="1"/>
  <c r="FW32" i="23"/>
  <c r="GA30" i="23"/>
  <c r="GB30" i="23"/>
  <c r="FL48" i="23"/>
  <c r="FG48" i="23"/>
  <c r="CE48" i="23"/>
  <c r="FK48" i="23"/>
  <c r="FH48" i="23"/>
  <c r="FJ48" i="23"/>
  <c r="FZ32" i="23"/>
  <c r="GB32" i="23"/>
  <c r="GA32" i="23"/>
  <c r="FO39" i="22"/>
  <c r="FR39" i="22" s="1"/>
  <c r="FS34" i="23" l="1"/>
  <c r="FT34" i="23"/>
  <c r="FO34" i="23"/>
  <c r="CF34" i="23"/>
  <c r="FP34" i="23"/>
  <c r="FR34" i="23"/>
  <c r="FO34" i="22"/>
  <c r="FT34" i="22" s="1"/>
  <c r="FO57" i="22"/>
  <c r="FU57" i="22" s="1"/>
  <c r="FO70" i="22"/>
  <c r="FS70" i="22" s="1"/>
  <c r="FO46" i="22"/>
  <c r="CF46" i="22" s="1"/>
  <c r="FO67" i="22"/>
  <c r="FU67" i="22" s="1"/>
  <c r="FV65" i="22"/>
  <c r="FO41" i="22"/>
  <c r="FR41" i="22" s="1"/>
  <c r="FO47" i="22"/>
  <c r="FT47" i="22" s="1"/>
  <c r="GD49" i="23"/>
  <c r="GH49" i="23" s="1"/>
  <c r="CX49" i="23" s="1"/>
  <c r="FR65" i="22"/>
  <c r="FO56" i="22"/>
  <c r="FQ56" i="22" s="1"/>
  <c r="FO35" i="22"/>
  <c r="CF35" i="22" s="1"/>
  <c r="FZ27" i="23"/>
  <c r="GB27" i="23"/>
  <c r="GD27" i="23" s="1"/>
  <c r="GE27" i="23" s="1"/>
  <c r="FW27" i="23"/>
  <c r="FX27" i="23"/>
  <c r="FT65" i="22"/>
  <c r="FO49" i="22"/>
  <c r="FT49" i="22" s="1"/>
  <c r="FP65" i="22"/>
  <c r="FS65" i="22" s="1"/>
  <c r="FU65" i="22"/>
  <c r="FO61" i="22"/>
  <c r="FQ61" i="22" s="1"/>
  <c r="FO71" i="22"/>
  <c r="FP71" i="22" s="1"/>
  <c r="GA28" i="23"/>
  <c r="FW28" i="23"/>
  <c r="FZ28" i="23"/>
  <c r="GD53" i="23"/>
  <c r="GE53" i="23" s="1"/>
  <c r="GB28" i="23"/>
  <c r="FX35" i="23"/>
  <c r="FO37" i="22"/>
  <c r="FQ37" i="22" s="1"/>
  <c r="GH56" i="23"/>
  <c r="CX56" i="23" s="1"/>
  <c r="CV56" i="23" s="1"/>
  <c r="CW56" i="23" s="1"/>
  <c r="GD29" i="23"/>
  <c r="GE29" i="23" s="1"/>
  <c r="FO68" i="22"/>
  <c r="FR68" i="22" s="1"/>
  <c r="FZ35" i="23"/>
  <c r="GB35" i="23"/>
  <c r="GA35" i="23"/>
  <c r="FO60" i="22"/>
  <c r="FQ60" i="22" s="1"/>
  <c r="FO62" i="22"/>
  <c r="FR62" i="22" s="1"/>
  <c r="FN26" i="23"/>
  <c r="FP26" i="23" s="1"/>
  <c r="FO44" i="22"/>
  <c r="FR44" i="22" s="1"/>
  <c r="FO72" i="22"/>
  <c r="FQ72" i="22" s="1"/>
  <c r="FQ45" i="22"/>
  <c r="FO42" i="22"/>
  <c r="FR42" i="22" s="1"/>
  <c r="FP46" i="22"/>
  <c r="FO63" i="22"/>
  <c r="FU63" i="22" s="1"/>
  <c r="FT45" i="22"/>
  <c r="FS45" i="22"/>
  <c r="FU45" i="22"/>
  <c r="FZ52" i="23"/>
  <c r="FO43" i="22"/>
  <c r="FU43" i="22" s="1"/>
  <c r="FO64" i="22"/>
  <c r="FT64" i="22" s="1"/>
  <c r="FK55" i="22"/>
  <c r="FU36" i="22"/>
  <c r="FO30" i="22"/>
  <c r="FV30" i="22" s="1"/>
  <c r="FR45" i="22"/>
  <c r="FV45" i="22"/>
  <c r="FP45" i="22"/>
  <c r="FQ36" i="22"/>
  <c r="CF36" i="22"/>
  <c r="FV36" i="22"/>
  <c r="FP36" i="22"/>
  <c r="FT36" i="22"/>
  <c r="FS36" i="22"/>
  <c r="FP66" i="22"/>
  <c r="FS66" i="22" s="1"/>
  <c r="GA52" i="23"/>
  <c r="GB52" i="23"/>
  <c r="FW52" i="23"/>
  <c r="GE56" i="23"/>
  <c r="GD31" i="23"/>
  <c r="FW33" i="23"/>
  <c r="GB33" i="23"/>
  <c r="FX33" i="23"/>
  <c r="GA33" i="23"/>
  <c r="FZ33" i="23"/>
  <c r="FO54" i="22"/>
  <c r="FT54" i="22" s="1"/>
  <c r="FO38" i="22"/>
  <c r="FQ66" i="22"/>
  <c r="FR66" i="22"/>
  <c r="FU66" i="22"/>
  <c r="FS69" i="22"/>
  <c r="FV69" i="22"/>
  <c r="FT58" i="22"/>
  <c r="FT66" i="22"/>
  <c r="FQ58" i="22"/>
  <c r="FS58" i="22" s="1"/>
  <c r="FV58" i="22"/>
  <c r="FR69" i="22"/>
  <c r="FR58" i="22"/>
  <c r="FQ69" i="22"/>
  <c r="FU69" i="22"/>
  <c r="FU58" i="22"/>
  <c r="FP69" i="22"/>
  <c r="FO31" i="22"/>
  <c r="FR31" i="22" s="1"/>
  <c r="CE27" i="22"/>
  <c r="CF34" i="22"/>
  <c r="FO55" i="22"/>
  <c r="FP55" i="22" s="1"/>
  <c r="FV32" i="22"/>
  <c r="FQ32" i="22"/>
  <c r="FP32" i="22"/>
  <c r="FT32" i="22"/>
  <c r="FU32" i="22"/>
  <c r="FR32" i="22"/>
  <c r="FS32" i="22" s="1"/>
  <c r="FO40" i="22"/>
  <c r="CF55" i="23"/>
  <c r="FS59" i="22"/>
  <c r="FQ59" i="22"/>
  <c r="FP59" i="22"/>
  <c r="FT59" i="22"/>
  <c r="FV59" i="22"/>
  <c r="FR59" i="22"/>
  <c r="FO48" i="22"/>
  <c r="FP57" i="22"/>
  <c r="FS57" i="22" s="1"/>
  <c r="FR57" i="22"/>
  <c r="FV57" i="22"/>
  <c r="FT57" i="22"/>
  <c r="FP39" i="22"/>
  <c r="FT73" i="22"/>
  <c r="FV73" i="22"/>
  <c r="FP73" i="22"/>
  <c r="FS73" i="22"/>
  <c r="FU73" i="22"/>
  <c r="FQ73" i="22"/>
  <c r="FT33" i="22"/>
  <c r="FV33" i="22"/>
  <c r="FU33" i="22"/>
  <c r="FP33" i="22"/>
  <c r="FS33" i="22" s="1"/>
  <c r="FQ33" i="22"/>
  <c r="CF33" i="22"/>
  <c r="FR33" i="22"/>
  <c r="CE44" i="23"/>
  <c r="FO55" i="23"/>
  <c r="GH51" i="23"/>
  <c r="CX51" i="23" s="1"/>
  <c r="CV51" i="23" s="1"/>
  <c r="CW51" i="23" s="1"/>
  <c r="FP55" i="23"/>
  <c r="GD30" i="23"/>
  <c r="GF30" i="23" s="1"/>
  <c r="GD32" i="23"/>
  <c r="GE32" i="23" s="1"/>
  <c r="CF39" i="22"/>
  <c r="FQ39" i="22"/>
  <c r="FV39" i="22"/>
  <c r="FU39" i="22"/>
  <c r="FR55" i="23"/>
  <c r="FS55" i="23"/>
  <c r="FV55" i="23" s="1"/>
  <c r="FZ55" i="23" s="1"/>
  <c r="GE51" i="23"/>
  <c r="GE47" i="23"/>
  <c r="GF47" i="23"/>
  <c r="GH47" i="23"/>
  <c r="CX47" i="23" s="1"/>
  <c r="FN48" i="23"/>
  <c r="FS39" i="22"/>
  <c r="FT39" i="22"/>
  <c r="FZ54" i="23"/>
  <c r="FX54" i="23"/>
  <c r="GB54" i="23"/>
  <c r="FW54" i="23"/>
  <c r="GA54" i="23"/>
  <c r="GF49" i="23" l="1"/>
  <c r="FV34" i="23"/>
  <c r="GE49" i="23"/>
  <c r="FX34" i="23"/>
  <c r="FW34" i="23"/>
  <c r="GB34" i="23"/>
  <c r="GA34" i="23"/>
  <c r="GD34" i="23" s="1"/>
  <c r="GE34" i="23" s="1"/>
  <c r="FZ34" i="23"/>
  <c r="FQ57" i="22"/>
  <c r="FT41" i="22"/>
  <c r="FR34" i="22"/>
  <c r="FS34" i="22" s="1"/>
  <c r="FP34" i="22"/>
  <c r="FQ34" i="22"/>
  <c r="FP61" i="22"/>
  <c r="FV34" i="22"/>
  <c r="FU34" i="22"/>
  <c r="FR46" i="22"/>
  <c r="FS46" i="22"/>
  <c r="FV41" i="22"/>
  <c r="FQ46" i="22"/>
  <c r="FT46" i="22"/>
  <c r="FT61" i="22"/>
  <c r="FP67" i="22"/>
  <c r="FU46" i="22"/>
  <c r="FP41" i="22"/>
  <c r="FS41" i="22" s="1"/>
  <c r="FT70" i="22"/>
  <c r="FV46" i="22"/>
  <c r="CF41" i="22"/>
  <c r="FU41" i="22"/>
  <c r="FU47" i="22"/>
  <c r="FQ41" i="22"/>
  <c r="FR70" i="22"/>
  <c r="FS71" i="22"/>
  <c r="FV70" i="22"/>
  <c r="FP70" i="22"/>
  <c r="FQ70" i="22"/>
  <c r="FU70" i="22"/>
  <c r="FQ67" i="22"/>
  <c r="FV47" i="22"/>
  <c r="FU61" i="22"/>
  <c r="FR61" i="22"/>
  <c r="FV67" i="22"/>
  <c r="FS67" i="22"/>
  <c r="FT67" i="22"/>
  <c r="FR67" i="22"/>
  <c r="FQ47" i="22"/>
  <c r="FR35" i="22"/>
  <c r="FU35" i="22"/>
  <c r="FT35" i="22"/>
  <c r="FP35" i="22"/>
  <c r="FV35" i="22"/>
  <c r="FS35" i="22"/>
  <c r="FQ35" i="22"/>
  <c r="FQ71" i="22"/>
  <c r="FS47" i="22"/>
  <c r="FP47" i="22"/>
  <c r="FV71" i="22"/>
  <c r="FR47" i="22"/>
  <c r="CF47" i="22"/>
  <c r="GH27" i="23"/>
  <c r="CX27" i="23" s="1"/>
  <c r="GF27" i="23"/>
  <c r="FS61" i="22"/>
  <c r="FS56" i="22"/>
  <c r="FV61" i="22"/>
  <c r="FU49" i="22"/>
  <c r="FP56" i="22"/>
  <c r="FT56" i="22"/>
  <c r="FV56" i="22"/>
  <c r="FU56" i="22"/>
  <c r="FR56" i="22"/>
  <c r="FQ49" i="22"/>
  <c r="FP44" i="22"/>
  <c r="FU44" i="22"/>
  <c r="CF49" i="22"/>
  <c r="FV49" i="22"/>
  <c r="FR49" i="22"/>
  <c r="FS49" i="22"/>
  <c r="FP49" i="22"/>
  <c r="GD28" i="23"/>
  <c r="GF28" i="23" s="1"/>
  <c r="GH29" i="23"/>
  <c r="CX29" i="23" s="1"/>
  <c r="CV29" i="23" s="1"/>
  <c r="CW29" i="23" s="1"/>
  <c r="FR71" i="22"/>
  <c r="FU71" i="22"/>
  <c r="FT71" i="22"/>
  <c r="FW65" i="22"/>
  <c r="FZ65" i="22" s="1"/>
  <c r="FS44" i="22"/>
  <c r="FT44" i="22"/>
  <c r="GH53" i="23"/>
  <c r="CX53" i="23" s="1"/>
  <c r="CV53" i="23" s="1"/>
  <c r="CW53" i="23" s="1"/>
  <c r="GF53" i="23"/>
  <c r="GF29" i="23"/>
  <c r="GD52" i="23"/>
  <c r="GH52" i="23" s="1"/>
  <c r="CX52" i="23" s="1"/>
  <c r="CV52" i="23" s="1"/>
  <c r="CW52" i="23" s="1"/>
  <c r="FV62" i="22"/>
  <c r="FT37" i="22"/>
  <c r="FS37" i="22"/>
  <c r="FP37" i="22"/>
  <c r="CF37" i="22"/>
  <c r="FV37" i="22"/>
  <c r="FU37" i="22"/>
  <c r="FR37" i="22"/>
  <c r="FT68" i="22"/>
  <c r="FU68" i="22"/>
  <c r="FQ68" i="22"/>
  <c r="FS68" i="22"/>
  <c r="FV68" i="22"/>
  <c r="FP68" i="22"/>
  <c r="FU62" i="22"/>
  <c r="FP62" i="22"/>
  <c r="FQ62" i="22"/>
  <c r="FT62" i="22"/>
  <c r="FS62" i="22"/>
  <c r="GD35" i="23"/>
  <c r="GF35" i="23" s="1"/>
  <c r="FT60" i="22"/>
  <c r="FU60" i="22"/>
  <c r="FS26" i="23"/>
  <c r="FV72" i="22"/>
  <c r="FU72" i="22"/>
  <c r="FV44" i="22"/>
  <c r="FP60" i="22"/>
  <c r="FQ44" i="22"/>
  <c r="CF44" i="22"/>
  <c r="FV60" i="22"/>
  <c r="FS60" i="22"/>
  <c r="FR60" i="22"/>
  <c r="FT72" i="22"/>
  <c r="CF26" i="23"/>
  <c r="CF23" i="23" s="1"/>
  <c r="FO26" i="23"/>
  <c r="FT26" i="23"/>
  <c r="FR26" i="23"/>
  <c r="FS72" i="22"/>
  <c r="FP72" i="22"/>
  <c r="FP42" i="22"/>
  <c r="FS42" i="22" s="1"/>
  <c r="FR72" i="22"/>
  <c r="CF42" i="22"/>
  <c r="FT42" i="22"/>
  <c r="FV42" i="22"/>
  <c r="FQ42" i="22"/>
  <c r="FU42" i="22"/>
  <c r="FP63" i="22"/>
  <c r="FS63" i="22" s="1"/>
  <c r="FR63" i="22"/>
  <c r="CF30" i="22"/>
  <c r="FQ63" i="22"/>
  <c r="FV63" i="22"/>
  <c r="FT63" i="22"/>
  <c r="FQ30" i="22"/>
  <c r="FQ43" i="22"/>
  <c r="FP43" i="22"/>
  <c r="FS43" i="22" s="1"/>
  <c r="FW45" i="22"/>
  <c r="GB45" i="22" s="1"/>
  <c r="FU30" i="22"/>
  <c r="CF43" i="22"/>
  <c r="FR30" i="22"/>
  <c r="FV43" i="22"/>
  <c r="FT30" i="22"/>
  <c r="FT43" i="22"/>
  <c r="FP30" i="22"/>
  <c r="FR43" i="22"/>
  <c r="FU64" i="22"/>
  <c r="FQ64" i="22"/>
  <c r="GD33" i="23"/>
  <c r="GH33" i="23" s="1"/>
  <c r="CX33" i="23" s="1"/>
  <c r="CV33" i="23" s="1"/>
  <c r="CW33" i="23" s="1"/>
  <c r="FV64" i="22"/>
  <c r="FR64" i="22"/>
  <c r="FS64" i="22" s="1"/>
  <c r="FP64" i="22"/>
  <c r="FS30" i="22"/>
  <c r="FW36" i="22"/>
  <c r="GD36" i="22" s="1"/>
  <c r="FP31" i="22"/>
  <c r="FU31" i="22"/>
  <c r="FQ31" i="22"/>
  <c r="FS31" i="22" s="1"/>
  <c r="FQ54" i="22"/>
  <c r="FR54" i="22"/>
  <c r="FU54" i="22"/>
  <c r="FP54" i="22"/>
  <c r="FV54" i="22"/>
  <c r="GE31" i="23"/>
  <c r="GF31" i="23"/>
  <c r="GH31" i="23"/>
  <c r="CX31" i="23" s="1"/>
  <c r="CV31" i="23" s="1"/>
  <c r="CW31" i="23" s="1"/>
  <c r="FW66" i="22"/>
  <c r="GC66" i="22" s="1"/>
  <c r="FT38" i="22"/>
  <c r="FQ38" i="22"/>
  <c r="CF38" i="22"/>
  <c r="FU38" i="22"/>
  <c r="FR38" i="22"/>
  <c r="FS38" i="22"/>
  <c r="FP38" i="22"/>
  <c r="FV38" i="22"/>
  <c r="FW69" i="22"/>
  <c r="GD69" i="22" s="1"/>
  <c r="FV55" i="22"/>
  <c r="FT31" i="22"/>
  <c r="CF31" i="22"/>
  <c r="FV31" i="22"/>
  <c r="FW58" i="22"/>
  <c r="GC58" i="22" s="1"/>
  <c r="FW32" i="22"/>
  <c r="CG32" i="22" s="1"/>
  <c r="FT55" i="22"/>
  <c r="FR55" i="22"/>
  <c r="FU55" i="22"/>
  <c r="FQ55" i="22"/>
  <c r="FS55" i="22" s="1"/>
  <c r="GH32" i="23"/>
  <c r="CX32" i="23" s="1"/>
  <c r="CV32" i="23" s="1"/>
  <c r="CW32" i="23" s="1"/>
  <c r="FR40" i="22"/>
  <c r="FU40" i="22"/>
  <c r="CF40" i="22"/>
  <c r="FP40" i="22"/>
  <c r="FS40" i="22" s="1"/>
  <c r="FT40" i="22"/>
  <c r="FQ40" i="22"/>
  <c r="FV40" i="22"/>
  <c r="GH30" i="23"/>
  <c r="CX30" i="23" s="1"/>
  <c r="CV30" i="23" s="1"/>
  <c r="CW30" i="23" s="1"/>
  <c r="GE30" i="23"/>
  <c r="GF32" i="23"/>
  <c r="FW59" i="22"/>
  <c r="GB59" i="22" s="1"/>
  <c r="CF48" i="22"/>
  <c r="FR48" i="22"/>
  <c r="FV48" i="22"/>
  <c r="FP48" i="22"/>
  <c r="FQ48" i="22"/>
  <c r="FU48" i="22"/>
  <c r="FS48" i="22"/>
  <c r="FT48" i="22"/>
  <c r="FW73" i="22"/>
  <c r="FY73" i="22" s="1"/>
  <c r="FW57" i="22"/>
  <c r="FY57" i="22" s="1"/>
  <c r="FW33" i="22"/>
  <c r="FW39" i="22"/>
  <c r="GD39" i="22" s="1"/>
  <c r="FX55" i="23"/>
  <c r="FW55" i="23"/>
  <c r="GA55" i="23"/>
  <c r="GB55" i="23"/>
  <c r="CF48" i="23"/>
  <c r="FP48" i="23"/>
  <c r="FO48" i="23"/>
  <c r="FR48" i="23"/>
  <c r="FT48" i="23"/>
  <c r="FS48" i="23"/>
  <c r="GD54" i="23"/>
  <c r="GF34" i="23" l="1"/>
  <c r="GH34" i="23"/>
  <c r="CX34" i="23" s="1"/>
  <c r="CV34" i="23" s="1"/>
  <c r="CW34" i="23" s="1"/>
  <c r="FW34" i="22"/>
  <c r="FY34" i="22" s="1"/>
  <c r="FV26" i="23"/>
  <c r="BV26" i="23"/>
  <c r="BM26" i="23" s="1"/>
  <c r="FW61" i="22"/>
  <c r="FX61" i="22" s="1"/>
  <c r="FW46" i="22"/>
  <c r="FZ46" i="22" s="1"/>
  <c r="FW41" i="22"/>
  <c r="GD41" i="22" s="1"/>
  <c r="GH35" i="23"/>
  <c r="CX35" i="23" s="1"/>
  <c r="CV35" i="23" s="1"/>
  <c r="CW35" i="23" s="1"/>
  <c r="FW70" i="22"/>
  <c r="FY70" i="22" s="1"/>
  <c r="FW47" i="22"/>
  <c r="FX47" i="22" s="1"/>
  <c r="FW67" i="22"/>
  <c r="FX67" i="22" s="1"/>
  <c r="GA67" i="22" s="1"/>
  <c r="FW35" i="22"/>
  <c r="FZ35" i="22" s="1"/>
  <c r="GB65" i="22"/>
  <c r="FW56" i="22"/>
  <c r="FY56" i="22" s="1"/>
  <c r="FY65" i="22"/>
  <c r="FX65" i="22"/>
  <c r="GA65" i="22" s="1"/>
  <c r="GC65" i="22"/>
  <c r="GH28" i="23"/>
  <c r="CX28" i="23" s="1"/>
  <c r="GE35" i="23"/>
  <c r="FW49" i="22"/>
  <c r="FX49" i="22" s="1"/>
  <c r="GD65" i="22"/>
  <c r="GE28" i="23"/>
  <c r="FW44" i="22"/>
  <c r="FZ44" i="22" s="1"/>
  <c r="FW71" i="22"/>
  <c r="FX71" i="22" s="1"/>
  <c r="FW68" i="22"/>
  <c r="FX68" i="22" s="1"/>
  <c r="FW62" i="22"/>
  <c r="FX62" i="22" s="1"/>
  <c r="FW37" i="22"/>
  <c r="FX37" i="22" s="1"/>
  <c r="GF52" i="23"/>
  <c r="GE52" i="23"/>
  <c r="GB46" i="22"/>
  <c r="GC46" i="22"/>
  <c r="CG45" i="22"/>
  <c r="FY45" i="22"/>
  <c r="GA45" i="22"/>
  <c r="GC45" i="22"/>
  <c r="GD45" i="22"/>
  <c r="FX45" i="22"/>
  <c r="FZ45" i="22"/>
  <c r="FW60" i="22"/>
  <c r="FY60" i="22" s="1"/>
  <c r="FW72" i="22"/>
  <c r="GB72" i="22" s="1"/>
  <c r="CG46" i="22"/>
  <c r="GD46" i="22"/>
  <c r="FX46" i="22"/>
  <c r="BV27" i="23"/>
  <c r="BM27" i="23" s="1"/>
  <c r="BJ27" i="23" s="1"/>
  <c r="BV28" i="23"/>
  <c r="BM28" i="23" s="1"/>
  <c r="BJ28" i="23" s="1"/>
  <c r="BV23" i="23"/>
  <c r="CF20" i="23" s="1"/>
  <c r="FW26" i="23"/>
  <c r="FZ26" i="23"/>
  <c r="FX26" i="23"/>
  <c r="GB26" i="23"/>
  <c r="GA26" i="23"/>
  <c r="FW42" i="22"/>
  <c r="FZ42" i="22" s="1"/>
  <c r="FW63" i="22"/>
  <c r="FY63" i="22" s="1"/>
  <c r="FW30" i="22"/>
  <c r="GB30" i="22" s="1"/>
  <c r="FW43" i="22"/>
  <c r="GD43" i="22" s="1"/>
  <c r="GE33" i="23"/>
  <c r="FY69" i="22"/>
  <c r="FX69" i="22"/>
  <c r="FW64" i="22"/>
  <c r="GD64" i="22" s="1"/>
  <c r="FY36" i="22"/>
  <c r="GF33" i="23"/>
  <c r="FZ36" i="22"/>
  <c r="FX36" i="22"/>
  <c r="GC36" i="22"/>
  <c r="CG36" i="22"/>
  <c r="GA36" i="22"/>
  <c r="GB36" i="22"/>
  <c r="FW54" i="22"/>
  <c r="GD54" i="22" s="1"/>
  <c r="FS54" i="22"/>
  <c r="FW31" i="22"/>
  <c r="GB31" i="22" s="1"/>
  <c r="FX66" i="22"/>
  <c r="GA66" i="22" s="1"/>
  <c r="GB66" i="22"/>
  <c r="FZ66" i="22"/>
  <c r="FW38" i="22"/>
  <c r="GC38" i="22" s="1"/>
  <c r="FY66" i="22"/>
  <c r="GD66" i="22"/>
  <c r="FZ69" i="22"/>
  <c r="GD58" i="22"/>
  <c r="GA69" i="22"/>
  <c r="GB69" i="22"/>
  <c r="GC69" i="22"/>
  <c r="FX58" i="22"/>
  <c r="GD34" i="22"/>
  <c r="FZ58" i="22"/>
  <c r="FW55" i="22"/>
  <c r="GB55" i="22" s="1"/>
  <c r="GB34" i="22"/>
  <c r="GB58" i="22"/>
  <c r="GA58" i="22"/>
  <c r="FZ34" i="22"/>
  <c r="GA34" i="22" s="1"/>
  <c r="FY58" i="22"/>
  <c r="GB32" i="22"/>
  <c r="FX32" i="22"/>
  <c r="GC32" i="22"/>
  <c r="FY32" i="22"/>
  <c r="GD32" i="22"/>
  <c r="FZ32" i="22"/>
  <c r="CF27" i="22"/>
  <c r="GC47" i="22"/>
  <c r="GD47" i="22"/>
  <c r="GA47" i="22"/>
  <c r="FW40" i="22"/>
  <c r="GC73" i="22"/>
  <c r="GA70" i="22"/>
  <c r="GC70" i="22"/>
  <c r="FX59" i="22"/>
  <c r="GA73" i="22"/>
  <c r="FY59" i="22"/>
  <c r="FZ59" i="22"/>
  <c r="GC59" i="22"/>
  <c r="FX73" i="22"/>
  <c r="GA59" i="22"/>
  <c r="GD59" i="22"/>
  <c r="GD57" i="22"/>
  <c r="FZ57" i="22"/>
  <c r="GA57" i="22"/>
  <c r="GC57" i="22"/>
  <c r="GB57" i="22"/>
  <c r="FX57" i="22"/>
  <c r="FW48" i="22"/>
  <c r="GD73" i="22"/>
  <c r="FZ73" i="22"/>
  <c r="GB73" i="22"/>
  <c r="GD61" i="22"/>
  <c r="FY39" i="22"/>
  <c r="GA39" i="22"/>
  <c r="GC39" i="22"/>
  <c r="CG39" i="22"/>
  <c r="FZ33" i="22"/>
  <c r="CG33" i="22"/>
  <c r="FY33" i="22"/>
  <c r="GD33" i="22"/>
  <c r="FX33" i="22"/>
  <c r="GA33" i="22" s="1"/>
  <c r="GB33" i="22"/>
  <c r="GC33" i="22"/>
  <c r="GB39" i="22"/>
  <c r="CF44" i="23"/>
  <c r="BV44" i="23" s="1"/>
  <c r="CF42" i="23" s="1"/>
  <c r="BV48" i="23"/>
  <c r="BM48" i="23" s="1"/>
  <c r="BV49" i="23"/>
  <c r="BM49" i="23" s="1"/>
  <c r="BJ49" i="23" s="1"/>
  <c r="BV47" i="23"/>
  <c r="BM47" i="23" s="1"/>
  <c r="FV48" i="23"/>
  <c r="FZ48" i="23" s="1"/>
  <c r="GB61" i="22"/>
  <c r="FZ61" i="22"/>
  <c r="FX39" i="22"/>
  <c r="FZ39" i="22"/>
  <c r="FY61" i="22"/>
  <c r="GD55" i="23"/>
  <c r="GE54" i="23"/>
  <c r="GF54" i="23"/>
  <c r="GH54" i="23"/>
  <c r="CX54" i="23" s="1"/>
  <c r="GA61" i="22" l="1"/>
  <c r="GC61" i="22"/>
  <c r="FY47" i="22"/>
  <c r="CG34" i="22"/>
  <c r="FX34" i="22"/>
  <c r="GB47" i="22"/>
  <c r="GC34" i="22"/>
  <c r="FZ56" i="22"/>
  <c r="GB67" i="22"/>
  <c r="CG47" i="22"/>
  <c r="FZ47" i="22"/>
  <c r="GA46" i="22"/>
  <c r="FY46" i="22"/>
  <c r="GB41" i="22"/>
  <c r="GA56" i="22"/>
  <c r="GC56" i="22"/>
  <c r="FZ41" i="22"/>
  <c r="FX41" i="22"/>
  <c r="GA41" i="22" s="1"/>
  <c r="FY41" i="22"/>
  <c r="CG41" i="22"/>
  <c r="GC41" i="22"/>
  <c r="FX35" i="22"/>
  <c r="GB35" i="22"/>
  <c r="GB70" i="22"/>
  <c r="GA35" i="22"/>
  <c r="FY35" i="22"/>
  <c r="FX70" i="22"/>
  <c r="FZ70" i="22"/>
  <c r="GD70" i="22"/>
  <c r="GD35" i="22"/>
  <c r="FZ67" i="22"/>
  <c r="GC67" i="22"/>
  <c r="GD67" i="22"/>
  <c r="FY67" i="22"/>
  <c r="GC44" i="22"/>
  <c r="GD44" i="22"/>
  <c r="FX56" i="22"/>
  <c r="GC35" i="22"/>
  <c r="CG35" i="22"/>
  <c r="GD56" i="22"/>
  <c r="GB56" i="22"/>
  <c r="GB71" i="22"/>
  <c r="GB68" i="22"/>
  <c r="GD68" i="22"/>
  <c r="GA71" i="22"/>
  <c r="FZ71" i="22"/>
  <c r="FY49" i="22"/>
  <c r="GA49" i="22"/>
  <c r="GB49" i="22"/>
  <c r="FZ37" i="22"/>
  <c r="GC49" i="22"/>
  <c r="GD49" i="22"/>
  <c r="FZ49" i="22"/>
  <c r="CG37" i="22"/>
  <c r="CG49" i="22"/>
  <c r="GE65" i="22"/>
  <c r="GK65" i="22" s="1"/>
  <c r="FY71" i="22"/>
  <c r="FY62" i="22"/>
  <c r="GB62" i="22"/>
  <c r="GD71" i="22"/>
  <c r="FZ63" i="22"/>
  <c r="GA44" i="22"/>
  <c r="CG44" i="22"/>
  <c r="FY44" i="22"/>
  <c r="FX44" i="22"/>
  <c r="GB44" i="22"/>
  <c r="GD62" i="22"/>
  <c r="GC71" i="22"/>
  <c r="FZ62" i="22"/>
  <c r="GC62" i="22"/>
  <c r="GA62" i="22"/>
  <c r="GA37" i="22"/>
  <c r="FY37" i="22"/>
  <c r="GA68" i="22"/>
  <c r="FZ68" i="22"/>
  <c r="GD37" i="22"/>
  <c r="FY68" i="22"/>
  <c r="GC68" i="22"/>
  <c r="GC37" i="22"/>
  <c r="GB37" i="22"/>
  <c r="GC60" i="22"/>
  <c r="GD60" i="22"/>
  <c r="GA60" i="22"/>
  <c r="GB60" i="22"/>
  <c r="GA63" i="22"/>
  <c r="FZ30" i="22"/>
  <c r="GE46" i="22"/>
  <c r="GL46" i="22" s="1"/>
  <c r="FX63" i="22"/>
  <c r="GB63" i="22"/>
  <c r="GE45" i="22"/>
  <c r="GL45" i="22" s="1"/>
  <c r="GD72" i="22"/>
  <c r="GA72" i="22"/>
  <c r="FZ72" i="22"/>
  <c r="FZ60" i="22"/>
  <c r="GC72" i="22"/>
  <c r="GC63" i="22"/>
  <c r="FY72" i="22"/>
  <c r="FX60" i="22"/>
  <c r="GD63" i="22"/>
  <c r="FX72" i="22"/>
  <c r="CF21" i="23"/>
  <c r="GD26" i="23"/>
  <c r="GH26" i="23" s="1"/>
  <c r="CX26" i="23" s="1"/>
  <c r="CX25" i="23" s="1"/>
  <c r="CV26" i="23" s="1"/>
  <c r="CW26" i="23" s="1"/>
  <c r="BX21" i="23"/>
  <c r="CC20" i="23"/>
  <c r="BW20" i="23"/>
  <c r="CE20" i="23"/>
  <c r="BY21" i="23"/>
  <c r="CD21" i="23"/>
  <c r="CB21" i="23"/>
  <c r="BZ21" i="23"/>
  <c r="BW21" i="23"/>
  <c r="CC21" i="23"/>
  <c r="BX20" i="23"/>
  <c r="CA21" i="23"/>
  <c r="CB20" i="23"/>
  <c r="BY20" i="23"/>
  <c r="BZ20" i="23"/>
  <c r="CD20" i="23"/>
  <c r="CA20" i="23"/>
  <c r="CE21" i="23"/>
  <c r="CG43" i="22"/>
  <c r="FY43" i="22"/>
  <c r="FX43" i="22"/>
  <c r="GA43" i="22" s="1"/>
  <c r="FZ43" i="22"/>
  <c r="GC43" i="22"/>
  <c r="GB43" i="22"/>
  <c r="FY42" i="22"/>
  <c r="GD42" i="22"/>
  <c r="GC42" i="22"/>
  <c r="GB42" i="22"/>
  <c r="FX42" i="22"/>
  <c r="GA42" i="22" s="1"/>
  <c r="CG42" i="22"/>
  <c r="CG30" i="22"/>
  <c r="FX30" i="22"/>
  <c r="FY30" i="22"/>
  <c r="GC30" i="22"/>
  <c r="GD30" i="22"/>
  <c r="GB64" i="22"/>
  <c r="FX64" i="22"/>
  <c r="GA64" i="22" s="1"/>
  <c r="GC64" i="22"/>
  <c r="FZ64" i="22"/>
  <c r="FY64" i="22"/>
  <c r="GE36" i="22"/>
  <c r="GL36" i="22" s="1"/>
  <c r="FY54" i="22"/>
  <c r="GA54" i="22" s="1"/>
  <c r="GC54" i="22"/>
  <c r="GB54" i="22"/>
  <c r="FZ54" i="22"/>
  <c r="GA32" i="22"/>
  <c r="FX54" i="22"/>
  <c r="CG31" i="22"/>
  <c r="GE69" i="22"/>
  <c r="GF69" i="22" s="1"/>
  <c r="GA30" i="22"/>
  <c r="FZ31" i="22"/>
  <c r="FY31" i="22"/>
  <c r="GC31" i="22"/>
  <c r="FX31" i="22"/>
  <c r="GD31" i="22"/>
  <c r="GE66" i="22"/>
  <c r="GF66" i="22" s="1"/>
  <c r="GI66" i="22" s="1"/>
  <c r="FZ38" i="22"/>
  <c r="GB38" i="22"/>
  <c r="FY38" i="22"/>
  <c r="GD38" i="22"/>
  <c r="GA38" i="22"/>
  <c r="FX38" i="22"/>
  <c r="CG38" i="22"/>
  <c r="GE58" i="22"/>
  <c r="GJ58" i="22" s="1"/>
  <c r="GE34" i="22"/>
  <c r="GD55" i="22"/>
  <c r="GC55" i="22"/>
  <c r="FZ55" i="22"/>
  <c r="GE32" i="22"/>
  <c r="GG32" i="22" s="1"/>
  <c r="FX55" i="22"/>
  <c r="FY55" i="22"/>
  <c r="GA55" i="22" s="1"/>
  <c r="GE47" i="22"/>
  <c r="GJ47" i="22" s="1"/>
  <c r="FX40" i="22"/>
  <c r="GB40" i="22"/>
  <c r="FY40" i="22"/>
  <c r="GC40" i="22"/>
  <c r="FZ40" i="22"/>
  <c r="GA40" i="22" s="1"/>
  <c r="CG40" i="22"/>
  <c r="GD40" i="22"/>
  <c r="GA48" i="23"/>
  <c r="FX48" i="23"/>
  <c r="GE59" i="22"/>
  <c r="GJ59" i="22" s="1"/>
  <c r="GE57" i="22"/>
  <c r="GF57" i="22" s="1"/>
  <c r="FY48" i="22"/>
  <c r="GC48" i="22"/>
  <c r="GB48" i="22"/>
  <c r="CG48" i="22"/>
  <c r="FZ48" i="22"/>
  <c r="GD48" i="22"/>
  <c r="GA48" i="22"/>
  <c r="FX48" i="22"/>
  <c r="GE73" i="22"/>
  <c r="GI73" i="22" s="1"/>
  <c r="GE39" i="22"/>
  <c r="GI39" i="22" s="1"/>
  <c r="GE61" i="22"/>
  <c r="GL61" i="22" s="1"/>
  <c r="GB48" i="23"/>
  <c r="GE33" i="22"/>
  <c r="GF33" i="22" s="1"/>
  <c r="FW48" i="23"/>
  <c r="GF55" i="23"/>
  <c r="GH55" i="23"/>
  <c r="CX55" i="23" s="1"/>
  <c r="CV55" i="23" s="1"/>
  <c r="CW55" i="23" s="1"/>
  <c r="GE55" i="23"/>
  <c r="CF41" i="23"/>
  <c r="BW42" i="23"/>
  <c r="CB41" i="23"/>
  <c r="BW41" i="23"/>
  <c r="CB42" i="23"/>
  <c r="BY42" i="23"/>
  <c r="CD41" i="23"/>
  <c r="CC41" i="23"/>
  <c r="BX41" i="23"/>
  <c r="BY41" i="23"/>
  <c r="CC42" i="23"/>
  <c r="BZ41" i="23"/>
  <c r="CA41" i="23"/>
  <c r="BZ42" i="23"/>
  <c r="CD42" i="23"/>
  <c r="CE41" i="23"/>
  <c r="CE42" i="23"/>
  <c r="BX42" i="23"/>
  <c r="CA42" i="23"/>
  <c r="CV54" i="23"/>
  <c r="CW54" i="23" s="1"/>
  <c r="GE41" i="22" l="1"/>
  <c r="GJ41" i="22" s="1"/>
  <c r="GE35" i="22"/>
  <c r="GH35" i="22" s="1"/>
  <c r="GE56" i="22"/>
  <c r="GL56" i="22" s="1"/>
  <c r="GE67" i="22"/>
  <c r="GG67" i="22" s="1"/>
  <c r="GE70" i="22"/>
  <c r="GI70" i="22" s="1"/>
  <c r="GE44" i="22"/>
  <c r="GJ44" i="22" s="1"/>
  <c r="GE68" i="22"/>
  <c r="GK68" i="22" s="1"/>
  <c r="GF65" i="22"/>
  <c r="GI65" i="22"/>
  <c r="GH65" i="22"/>
  <c r="GJ65" i="22"/>
  <c r="GL65" i="22"/>
  <c r="GE49" i="22"/>
  <c r="GH49" i="22" s="1"/>
  <c r="GG65" i="22"/>
  <c r="GE71" i="22"/>
  <c r="GG71" i="22" s="1"/>
  <c r="GE62" i="22"/>
  <c r="GF62" i="22" s="1"/>
  <c r="GK45" i="22"/>
  <c r="CH45" i="22"/>
  <c r="GI45" i="22"/>
  <c r="GJ45" i="22"/>
  <c r="GE60" i="22"/>
  <c r="GH60" i="22" s="1"/>
  <c r="GG45" i="22"/>
  <c r="GF45" i="22"/>
  <c r="GH45" i="22"/>
  <c r="GE37" i="22"/>
  <c r="GG37" i="22" s="1"/>
  <c r="GF46" i="22"/>
  <c r="GG56" i="22"/>
  <c r="GH46" i="22"/>
  <c r="GI46" i="22"/>
  <c r="GJ46" i="22"/>
  <c r="CH46" i="22"/>
  <c r="GK46" i="22"/>
  <c r="GG46" i="22"/>
  <c r="GE43" i="22"/>
  <c r="GI43" i="22" s="1"/>
  <c r="GE63" i="22"/>
  <c r="GK63" i="22" s="1"/>
  <c r="GE72" i="22"/>
  <c r="GK72" i="22" s="1"/>
  <c r="GE26" i="23"/>
  <c r="GF26" i="23"/>
  <c r="GJ35" i="22"/>
  <c r="GA31" i="22"/>
  <c r="CV28" i="23"/>
  <c r="CW28" i="23" s="1"/>
  <c r="CV27" i="23"/>
  <c r="CW27" i="23" s="1"/>
  <c r="BZ16" i="23"/>
  <c r="CA17" i="23"/>
  <c r="CA16" i="23"/>
  <c r="BZ17" i="23"/>
  <c r="P37" i="23"/>
  <c r="P38" i="23" s="1"/>
  <c r="GE30" i="22"/>
  <c r="GL30" i="22" s="1"/>
  <c r="GE42" i="22"/>
  <c r="GE64" i="22"/>
  <c r="GH64" i="22" s="1"/>
  <c r="CH35" i="22"/>
  <c r="GI35" i="22"/>
  <c r="GF35" i="22"/>
  <c r="GG35" i="22"/>
  <c r="GL35" i="22"/>
  <c r="GK35" i="22"/>
  <c r="GE54" i="22"/>
  <c r="GH54" i="22" s="1"/>
  <c r="GD48" i="23"/>
  <c r="GF48" i="23" s="1"/>
  <c r="GK36" i="22"/>
  <c r="GJ36" i="22"/>
  <c r="GI36" i="22"/>
  <c r="GF36" i="22"/>
  <c r="CH36" i="22"/>
  <c r="GH36" i="22"/>
  <c r="GG36" i="22"/>
  <c r="GG69" i="22"/>
  <c r="GK69" i="22"/>
  <c r="GE31" i="22"/>
  <c r="GK31" i="22" s="1"/>
  <c r="GI69" i="22"/>
  <c r="GH69" i="22"/>
  <c r="GL69" i="22"/>
  <c r="GJ69" i="22"/>
  <c r="GJ66" i="22"/>
  <c r="GH66" i="22"/>
  <c r="GE38" i="22"/>
  <c r="GI38" i="22" s="1"/>
  <c r="GK66" i="22"/>
  <c r="GL66" i="22"/>
  <c r="GG66" i="22"/>
  <c r="GG34" i="22"/>
  <c r="GF34" i="22"/>
  <c r="GI34" i="22" s="1"/>
  <c r="GL34" i="22"/>
  <c r="GH34" i="22"/>
  <c r="GK34" i="22"/>
  <c r="GG58" i="22"/>
  <c r="GL58" i="22"/>
  <c r="GF58" i="22"/>
  <c r="GI58" i="22" s="1"/>
  <c r="GH58" i="22"/>
  <c r="GK58" i="22"/>
  <c r="GH41" i="22"/>
  <c r="GJ34" i="22"/>
  <c r="CH41" i="22"/>
  <c r="CH34" i="22"/>
  <c r="GE55" i="22"/>
  <c r="GH55" i="22" s="1"/>
  <c r="GG41" i="22"/>
  <c r="GH47" i="22"/>
  <c r="GK32" i="22"/>
  <c r="GJ32" i="22"/>
  <c r="GF32" i="22"/>
  <c r="CH32" i="22"/>
  <c r="GL32" i="22"/>
  <c r="GH32" i="22"/>
  <c r="GI32" i="22" s="1"/>
  <c r="GG47" i="22"/>
  <c r="GF47" i="22"/>
  <c r="GI47" i="22"/>
  <c r="GL47" i="22"/>
  <c r="CH47" i="22"/>
  <c r="GK47" i="22"/>
  <c r="CG27" i="22"/>
  <c r="GK59" i="22"/>
  <c r="GH59" i="22"/>
  <c r="GE40" i="22"/>
  <c r="GG59" i="22"/>
  <c r="GL59" i="22"/>
  <c r="GI59" i="22"/>
  <c r="GL57" i="22"/>
  <c r="GF59" i="22"/>
  <c r="GH57" i="22"/>
  <c r="GG73" i="22"/>
  <c r="GJ57" i="22"/>
  <c r="GG57" i="22"/>
  <c r="GI57" i="22" s="1"/>
  <c r="CH39" i="22"/>
  <c r="GH73" i="22"/>
  <c r="GK57" i="22"/>
  <c r="GI61" i="22"/>
  <c r="GJ73" i="22"/>
  <c r="GF73" i="22"/>
  <c r="GK73" i="22"/>
  <c r="GL73" i="22"/>
  <c r="GG39" i="22"/>
  <c r="GF39" i="22"/>
  <c r="GH39" i="22"/>
  <c r="GL39" i="22"/>
  <c r="GF61" i="22"/>
  <c r="GE48" i="22"/>
  <c r="GI48" i="22" s="1"/>
  <c r="GH61" i="22"/>
  <c r="GK39" i="22"/>
  <c r="GJ39" i="22"/>
  <c r="GG61" i="22"/>
  <c r="GK61" i="22"/>
  <c r="GJ61" i="22"/>
  <c r="GK33" i="22"/>
  <c r="GH33" i="22"/>
  <c r="CH33" i="22"/>
  <c r="GG33" i="22"/>
  <c r="GI33" i="22" s="1"/>
  <c r="GL33" i="22"/>
  <c r="GJ33" i="22"/>
  <c r="CA38" i="23"/>
  <c r="CA37" i="23"/>
  <c r="BZ37" i="23"/>
  <c r="BZ38" i="23"/>
  <c r="GF56" i="22" l="1"/>
  <c r="GI56" i="22" s="1"/>
  <c r="GK44" i="22"/>
  <c r="CH44" i="22"/>
  <c r="GI41" i="22"/>
  <c r="GJ56" i="22"/>
  <c r="GM56" i="22" s="1"/>
  <c r="GR56" i="22" s="1"/>
  <c r="GL41" i="22"/>
  <c r="GK41" i="22"/>
  <c r="GM41" i="22" s="1"/>
  <c r="GT41" i="22" s="1"/>
  <c r="GF41" i="22"/>
  <c r="GH67" i="22"/>
  <c r="GI67" i="22" s="1"/>
  <c r="GF67" i="22"/>
  <c r="GL67" i="22"/>
  <c r="GH56" i="22"/>
  <c r="GJ67" i="22"/>
  <c r="GK56" i="22"/>
  <c r="GF70" i="22"/>
  <c r="GL44" i="22"/>
  <c r="GM44" i="22" s="1"/>
  <c r="GO44" i="22" s="1"/>
  <c r="GH70" i="22"/>
  <c r="GJ70" i="22"/>
  <c r="GK70" i="22"/>
  <c r="GL70" i="22"/>
  <c r="GF44" i="22"/>
  <c r="GG44" i="22"/>
  <c r="GI44" i="22"/>
  <c r="GG70" i="22"/>
  <c r="GH44" i="22"/>
  <c r="GK67" i="22"/>
  <c r="GM45" i="22"/>
  <c r="GR45" i="22" s="1"/>
  <c r="GH68" i="22"/>
  <c r="GM65" i="22"/>
  <c r="GP65" i="22" s="1"/>
  <c r="GI68" i="22"/>
  <c r="GL68" i="22"/>
  <c r="GF68" i="22"/>
  <c r="GF49" i="22"/>
  <c r="GJ68" i="22"/>
  <c r="GG68" i="22"/>
  <c r="GL71" i="22"/>
  <c r="GK49" i="22"/>
  <c r="GK71" i="22"/>
  <c r="GI71" i="22"/>
  <c r="GH71" i="22"/>
  <c r="GF71" i="22"/>
  <c r="GJ71" i="22"/>
  <c r="CH49" i="22"/>
  <c r="GJ49" i="22"/>
  <c r="GG49" i="22"/>
  <c r="GL49" i="22"/>
  <c r="GI49" i="22"/>
  <c r="GF60" i="22"/>
  <c r="GL60" i="22"/>
  <c r="GH62" i="22"/>
  <c r="GJ62" i="22"/>
  <c r="GI62" i="22"/>
  <c r="GL62" i="22"/>
  <c r="GJ60" i="22"/>
  <c r="GI60" i="22"/>
  <c r="GK60" i="22"/>
  <c r="GG60" i="22"/>
  <c r="GK62" i="22"/>
  <c r="GG62" i="22"/>
  <c r="GF37" i="22"/>
  <c r="CH37" i="22"/>
  <c r="GH37" i="22"/>
  <c r="GJ37" i="22"/>
  <c r="GI37" i="22"/>
  <c r="GK37" i="22"/>
  <c r="GH43" i="22"/>
  <c r="GJ43" i="22"/>
  <c r="GL37" i="22"/>
  <c r="GM46" i="22"/>
  <c r="GS46" i="22" s="1"/>
  <c r="GG43" i="22"/>
  <c r="GL43" i="22"/>
  <c r="GF63" i="22"/>
  <c r="GH63" i="22"/>
  <c r="CH43" i="22"/>
  <c r="GJ63" i="22"/>
  <c r="GK43" i="22"/>
  <c r="GG63" i="22"/>
  <c r="GI63" i="22"/>
  <c r="GF43" i="22"/>
  <c r="GL63" i="22"/>
  <c r="BY16" i="23"/>
  <c r="GF72" i="22"/>
  <c r="GI72" i="22"/>
  <c r="GJ72" i="22"/>
  <c r="GG72" i="22"/>
  <c r="GL72" i="22"/>
  <c r="GE48" i="23"/>
  <c r="GJ30" i="22"/>
  <c r="GK30" i="22"/>
  <c r="GH72" i="22"/>
  <c r="GH48" i="23"/>
  <c r="CX48" i="23" s="1"/>
  <c r="CX46" i="23" s="1"/>
  <c r="GH31" i="22"/>
  <c r="BY17" i="23"/>
  <c r="GH30" i="22"/>
  <c r="CH30" i="22"/>
  <c r="GF30" i="22"/>
  <c r="GI30" i="22" s="1"/>
  <c r="GG30" i="22"/>
  <c r="GK42" i="22"/>
  <c r="GL42" i="22"/>
  <c r="CH42" i="22"/>
  <c r="GF42" i="22"/>
  <c r="GI42" i="22" s="1"/>
  <c r="GH42" i="22"/>
  <c r="GG42" i="22"/>
  <c r="GJ42" i="22"/>
  <c r="GG54" i="22"/>
  <c r="GF31" i="22"/>
  <c r="GJ54" i="22"/>
  <c r="GK54" i="22"/>
  <c r="GF64" i="22"/>
  <c r="GL54" i="22"/>
  <c r="GM35" i="22"/>
  <c r="GO35" i="22" s="1"/>
  <c r="GF54" i="22"/>
  <c r="GI54" i="22" s="1"/>
  <c r="GM36" i="22"/>
  <c r="GO36" i="22" s="1"/>
  <c r="CH31" i="22"/>
  <c r="GG64" i="22"/>
  <c r="GK64" i="22"/>
  <c r="GJ64" i="22"/>
  <c r="GI64" i="22"/>
  <c r="GL64" i="22"/>
  <c r="GM69" i="22"/>
  <c r="GN69" i="22" s="1"/>
  <c r="GG31" i="22"/>
  <c r="GJ31" i="22"/>
  <c r="GL31" i="22"/>
  <c r="GI31" i="22"/>
  <c r="GG38" i="22"/>
  <c r="GH38" i="22"/>
  <c r="GM58" i="22"/>
  <c r="GT58" i="22" s="1"/>
  <c r="GK38" i="22"/>
  <c r="GF38" i="22"/>
  <c r="CH38" i="22"/>
  <c r="GJ38" i="22"/>
  <c r="GL38" i="22"/>
  <c r="GM66" i="22"/>
  <c r="GO66" i="22" s="1"/>
  <c r="GQ66" i="22" s="1"/>
  <c r="GJ55" i="22"/>
  <c r="GM34" i="22"/>
  <c r="GR34" i="22" s="1"/>
  <c r="GG55" i="22"/>
  <c r="GL55" i="22"/>
  <c r="GF55" i="22"/>
  <c r="GK55" i="22"/>
  <c r="GM32" i="22"/>
  <c r="GS32" i="22" s="1"/>
  <c r="GM47" i="22"/>
  <c r="GM59" i="22"/>
  <c r="GO59" i="22" s="1"/>
  <c r="GM73" i="22"/>
  <c r="GN73" i="22" s="1"/>
  <c r="GJ40" i="22"/>
  <c r="GI40" i="22"/>
  <c r="GK40" i="22"/>
  <c r="GL40" i="22"/>
  <c r="GG40" i="22"/>
  <c r="GH40" i="22"/>
  <c r="CH40" i="22"/>
  <c r="GF40" i="22"/>
  <c r="GM57" i="22"/>
  <c r="GS57" i="22" s="1"/>
  <c r="GM39" i="22"/>
  <c r="GT39" i="22" s="1"/>
  <c r="GG48" i="22"/>
  <c r="GN45" i="22"/>
  <c r="GF48" i="22"/>
  <c r="GJ48" i="22"/>
  <c r="CH48" i="22"/>
  <c r="GK48" i="22"/>
  <c r="GH48" i="22"/>
  <c r="GL48" i="22"/>
  <c r="GM61" i="22"/>
  <c r="GT61" i="22" s="1"/>
  <c r="BY38" i="23"/>
  <c r="GM33" i="22"/>
  <c r="GT33" i="22" s="1"/>
  <c r="BY37" i="23"/>
  <c r="GM67" i="22" l="1"/>
  <c r="GR67" i="22" s="1"/>
  <c r="GO45" i="22"/>
  <c r="GM70" i="22"/>
  <c r="GT70" i="22" s="1"/>
  <c r="GQ45" i="22"/>
  <c r="CI45" i="22"/>
  <c r="GP45" i="22"/>
  <c r="GS45" i="22"/>
  <c r="GT45" i="22"/>
  <c r="GS65" i="22"/>
  <c r="GM68" i="22"/>
  <c r="GS68" i="22" s="1"/>
  <c r="GM71" i="22"/>
  <c r="GQ71" i="22" s="1"/>
  <c r="GM49" i="22"/>
  <c r="GT49" i="22" s="1"/>
  <c r="GT65" i="22"/>
  <c r="GQ65" i="22"/>
  <c r="GR65" i="22"/>
  <c r="GN65" i="22"/>
  <c r="GO65" i="22"/>
  <c r="GM60" i="22"/>
  <c r="GT60" i="22" s="1"/>
  <c r="GM62" i="22"/>
  <c r="GQ62" i="22" s="1"/>
  <c r="GM43" i="22"/>
  <c r="GO43" i="22" s="1"/>
  <c r="GM37" i="22"/>
  <c r="GT37" i="22" s="1"/>
  <c r="GQ46" i="22"/>
  <c r="CI46" i="22"/>
  <c r="GO46" i="22"/>
  <c r="GR46" i="22"/>
  <c r="GP46" i="22"/>
  <c r="GN46" i="22"/>
  <c r="GT46" i="22"/>
  <c r="GP56" i="22"/>
  <c r="GQ56" i="22" s="1"/>
  <c r="GN56" i="22"/>
  <c r="GO56" i="22"/>
  <c r="GS56" i="22"/>
  <c r="GT56" i="22"/>
  <c r="GM63" i="22"/>
  <c r="GQ63" i="22" s="1"/>
  <c r="GM30" i="22"/>
  <c r="GN30" i="22" s="1"/>
  <c r="BX16" i="23"/>
  <c r="CE17" i="23" s="1"/>
  <c r="GM72" i="22"/>
  <c r="GR72" i="22" s="1"/>
  <c r="GN35" i="22"/>
  <c r="GI55" i="22"/>
  <c r="GM42" i="22"/>
  <c r="GO42" i="22" s="1"/>
  <c r="GQ42" i="22" s="1"/>
  <c r="GP35" i="22"/>
  <c r="GS35" i="22"/>
  <c r="GR35" i="22"/>
  <c r="GQ35" i="22"/>
  <c r="GT35" i="22"/>
  <c r="GM54" i="22"/>
  <c r="GN54" i="22" s="1"/>
  <c r="GN36" i="22"/>
  <c r="GR36" i="22"/>
  <c r="CI36" i="22"/>
  <c r="GP36" i="22"/>
  <c r="GT36" i="22"/>
  <c r="CI35" i="22"/>
  <c r="GQ36" i="22"/>
  <c r="GS36" i="22"/>
  <c r="GM64" i="22"/>
  <c r="GP41" i="22"/>
  <c r="GO41" i="22"/>
  <c r="GR41" i="22"/>
  <c r="GS41" i="22"/>
  <c r="GT67" i="22"/>
  <c r="GO69" i="22"/>
  <c r="GP69" i="22"/>
  <c r="GQ69" i="22"/>
  <c r="GS69" i="22"/>
  <c r="GM31" i="22"/>
  <c r="GS31" i="22" s="1"/>
  <c r="GT69" i="22"/>
  <c r="GR69" i="22"/>
  <c r="GO67" i="22"/>
  <c r="GQ67" i="22" s="1"/>
  <c r="GS67" i="22"/>
  <c r="GP67" i="22"/>
  <c r="CI41" i="22"/>
  <c r="GQ41" i="22"/>
  <c r="GN41" i="22"/>
  <c r="GN67" i="22"/>
  <c r="GN58" i="22"/>
  <c r="GP58" i="22"/>
  <c r="GR58" i="22"/>
  <c r="GS66" i="22"/>
  <c r="GO58" i="22"/>
  <c r="GQ58" i="22" s="1"/>
  <c r="GS58" i="22"/>
  <c r="GT66" i="22"/>
  <c r="GM38" i="22"/>
  <c r="GR38" i="22" s="1"/>
  <c r="GR66" i="22"/>
  <c r="GS49" i="22"/>
  <c r="GN66" i="22"/>
  <c r="GP66" i="22"/>
  <c r="GO34" i="22"/>
  <c r="GP34" i="22"/>
  <c r="CI34" i="22"/>
  <c r="GS34" i="22"/>
  <c r="GP62" i="22"/>
  <c r="GN34" i="22"/>
  <c r="GQ34" i="22" s="1"/>
  <c r="GR32" i="22"/>
  <c r="GT34" i="22"/>
  <c r="GM55" i="22"/>
  <c r="GN55" i="22" s="1"/>
  <c r="GN32" i="22"/>
  <c r="GP57" i="22"/>
  <c r="GQ59" i="22"/>
  <c r="GR59" i="22"/>
  <c r="CI32" i="22"/>
  <c r="GO32" i="22"/>
  <c r="GP32" i="22"/>
  <c r="GT32" i="22"/>
  <c r="GQ73" i="22"/>
  <c r="GQ47" i="22"/>
  <c r="GS47" i="22"/>
  <c r="GR47" i="22"/>
  <c r="GO47" i="22"/>
  <c r="GT47" i="22"/>
  <c r="GN47" i="22"/>
  <c r="GP47" i="22"/>
  <c r="CI47" i="22"/>
  <c r="GN59" i="22"/>
  <c r="GT59" i="22"/>
  <c r="GP59" i="22"/>
  <c r="GS59" i="22"/>
  <c r="GR73" i="22"/>
  <c r="GT73" i="22"/>
  <c r="GP73" i="22"/>
  <c r="CH27" i="22"/>
  <c r="GO73" i="22"/>
  <c r="GS73" i="22"/>
  <c r="GR61" i="22"/>
  <c r="GR44" i="22"/>
  <c r="GR57" i="22"/>
  <c r="GT57" i="22"/>
  <c r="GQ70" i="22"/>
  <c r="GN57" i="22"/>
  <c r="GQ57" i="22"/>
  <c r="GM40" i="22"/>
  <c r="GO57" i="22"/>
  <c r="GP44" i="22"/>
  <c r="GQ44" i="22"/>
  <c r="GN44" i="22"/>
  <c r="GS44" i="22"/>
  <c r="GT44" i="22"/>
  <c r="CI44" i="22"/>
  <c r="CI39" i="22"/>
  <c r="GO39" i="22"/>
  <c r="GP39" i="22"/>
  <c r="GN39" i="22"/>
  <c r="GQ39" i="22"/>
  <c r="GR39" i="22"/>
  <c r="GS39" i="22"/>
  <c r="GM48" i="22"/>
  <c r="GS48" i="22" s="1"/>
  <c r="GN61" i="22"/>
  <c r="GS61" i="22"/>
  <c r="GQ61" i="22"/>
  <c r="GP61" i="22"/>
  <c r="GO61" i="22"/>
  <c r="GS33" i="22"/>
  <c r="GP33" i="22"/>
  <c r="GR33" i="22"/>
  <c r="GN33" i="22"/>
  <c r="GQ33" i="22" s="1"/>
  <c r="GO33" i="22"/>
  <c r="CI33" i="22"/>
  <c r="BX37" i="23"/>
  <c r="CE38" i="23" s="1"/>
  <c r="CV49" i="23"/>
  <c r="CW49" i="23" s="1"/>
  <c r="CV47" i="23"/>
  <c r="CW47" i="23" s="1"/>
  <c r="CV48" i="23"/>
  <c r="CW48" i="23" s="1"/>
  <c r="BH76" i="23"/>
  <c r="P58" i="23"/>
  <c r="P59" i="23" s="1"/>
  <c r="BH92" i="23"/>
  <c r="GU45" i="22" l="1"/>
  <c r="GY45" i="22" s="1"/>
  <c r="GT71" i="22"/>
  <c r="GN70" i="22"/>
  <c r="GQ68" i="22"/>
  <c r="GO68" i="22"/>
  <c r="GO70" i="22"/>
  <c r="GR70" i="22"/>
  <c r="GP70" i="22"/>
  <c r="GS70" i="22"/>
  <c r="GR71" i="22"/>
  <c r="GT68" i="22"/>
  <c r="GS71" i="22"/>
  <c r="GO71" i="22"/>
  <c r="GN71" i="22"/>
  <c r="GP71" i="22"/>
  <c r="GT43" i="22"/>
  <c r="GO49" i="22"/>
  <c r="GR49" i="22"/>
  <c r="GU49" i="22" s="1"/>
  <c r="HA49" i="22" s="1"/>
  <c r="GQ49" i="22"/>
  <c r="GP49" i="22"/>
  <c r="CI49" i="22"/>
  <c r="GN49" i="22"/>
  <c r="GP31" i="22"/>
  <c r="GS37" i="22"/>
  <c r="GQ37" i="22"/>
  <c r="GR37" i="22"/>
  <c r="GR68" i="22"/>
  <c r="GU68" i="22" s="1"/>
  <c r="GZ68" i="22" s="1"/>
  <c r="GN37" i="22"/>
  <c r="GP68" i="22"/>
  <c r="GN68" i="22"/>
  <c r="GQ60" i="22"/>
  <c r="GU65" i="22"/>
  <c r="GY65" i="22" s="1"/>
  <c r="GO37" i="22"/>
  <c r="CI37" i="22"/>
  <c r="GP37" i="22"/>
  <c r="GT62" i="22"/>
  <c r="GO62" i="22"/>
  <c r="GS60" i="22"/>
  <c r="GN62" i="22"/>
  <c r="GS62" i="22"/>
  <c r="GP60" i="22"/>
  <c r="GO60" i="22"/>
  <c r="GR62" i="22"/>
  <c r="GN60" i="22"/>
  <c r="GR60" i="22"/>
  <c r="GP43" i="22"/>
  <c r="GS43" i="22"/>
  <c r="CI43" i="22"/>
  <c r="GN43" i="22"/>
  <c r="GQ43" i="22"/>
  <c r="GR43" i="22"/>
  <c r="GU46" i="22"/>
  <c r="HA46" i="22" s="1"/>
  <c r="CC16" i="23"/>
  <c r="CE16" i="23"/>
  <c r="CF16" i="23" s="1"/>
  <c r="GU56" i="22"/>
  <c r="HB56" i="22" s="1"/>
  <c r="GP63" i="22"/>
  <c r="GS63" i="22"/>
  <c r="GO63" i="22"/>
  <c r="GN63" i="22"/>
  <c r="GT63" i="22"/>
  <c r="CI30" i="22"/>
  <c r="GP30" i="22"/>
  <c r="GR30" i="22"/>
  <c r="GS30" i="22"/>
  <c r="GR63" i="22"/>
  <c r="GT30" i="22"/>
  <c r="GO30" i="22"/>
  <c r="GQ30" i="22" s="1"/>
  <c r="GP72" i="22"/>
  <c r="GN72" i="22"/>
  <c r="CC17" i="23"/>
  <c r="GO72" i="22"/>
  <c r="GT72" i="22"/>
  <c r="GQ72" i="22"/>
  <c r="GS72" i="22"/>
  <c r="GN42" i="22"/>
  <c r="GO54" i="22"/>
  <c r="GP54" i="22"/>
  <c r="GP42" i="22"/>
  <c r="GT42" i="22"/>
  <c r="GO31" i="22"/>
  <c r="GU35" i="22"/>
  <c r="CJ35" i="22" s="1"/>
  <c r="CI31" i="22"/>
  <c r="CI42" i="22"/>
  <c r="GR42" i="22"/>
  <c r="GS42" i="22"/>
  <c r="GT54" i="22"/>
  <c r="GR54" i="22"/>
  <c r="GS54" i="22"/>
  <c r="GU36" i="22"/>
  <c r="GY36" i="22" s="1"/>
  <c r="GR31" i="22"/>
  <c r="GN31" i="22"/>
  <c r="GT31" i="22"/>
  <c r="GQ64" i="22"/>
  <c r="GO64" i="22"/>
  <c r="GR64" i="22"/>
  <c r="GS64" i="22"/>
  <c r="GT64" i="22"/>
  <c r="GP64" i="22"/>
  <c r="GN64" i="22"/>
  <c r="GU41" i="22"/>
  <c r="HB41" i="22" s="1"/>
  <c r="GU69" i="22"/>
  <c r="GW69" i="22" s="1"/>
  <c r="GU67" i="22"/>
  <c r="HB67" i="22" s="1"/>
  <c r="GP38" i="22"/>
  <c r="GO55" i="22"/>
  <c r="GS55" i="22"/>
  <c r="GR55" i="22"/>
  <c r="GU58" i="22"/>
  <c r="GZ58" i="22" s="1"/>
  <c r="GO38" i="22"/>
  <c r="GS38" i="22"/>
  <c r="GT38" i="22"/>
  <c r="CI38" i="22"/>
  <c r="GN38" i="22"/>
  <c r="GQ38" i="22"/>
  <c r="GQ31" i="22"/>
  <c r="GU32" i="22"/>
  <c r="HA32" i="22" s="1"/>
  <c r="GQ32" i="22"/>
  <c r="GQ54" i="22"/>
  <c r="GU66" i="22"/>
  <c r="GY66" i="22" s="1"/>
  <c r="GP55" i="22"/>
  <c r="GQ55" i="22" s="1"/>
  <c r="GT55" i="22"/>
  <c r="GU34" i="22"/>
  <c r="HB34" i="22" s="1"/>
  <c r="GU61" i="22"/>
  <c r="GZ61" i="22" s="1"/>
  <c r="GU59" i="22"/>
  <c r="GY59" i="22" s="1"/>
  <c r="GX45" i="22"/>
  <c r="GU47" i="22"/>
  <c r="GU73" i="22"/>
  <c r="GZ73" i="22" s="1"/>
  <c r="HA45" i="22"/>
  <c r="GU57" i="22"/>
  <c r="HA57" i="22" s="1"/>
  <c r="GU44" i="22"/>
  <c r="HB44" i="22" s="1"/>
  <c r="GW45" i="22"/>
  <c r="HB45" i="22"/>
  <c r="CJ45" i="22"/>
  <c r="GQ40" i="22"/>
  <c r="GO40" i="22"/>
  <c r="GN40" i="22"/>
  <c r="GT40" i="22"/>
  <c r="CI40" i="22"/>
  <c r="GP40" i="22"/>
  <c r="GS40" i="22"/>
  <c r="GR40" i="22"/>
  <c r="GU39" i="22"/>
  <c r="GV39" i="22" s="1"/>
  <c r="CE37" i="23"/>
  <c r="CF37" i="23" s="1"/>
  <c r="CI48" i="22"/>
  <c r="GN48" i="22"/>
  <c r="GU33" i="22"/>
  <c r="HA33" i="22" s="1"/>
  <c r="GR48" i="22"/>
  <c r="GO48" i="22"/>
  <c r="GQ48" i="22"/>
  <c r="GT48" i="22"/>
  <c r="GP48" i="22"/>
  <c r="CC38" i="23"/>
  <c r="CC37" i="23"/>
  <c r="GZ45" i="22" l="1"/>
  <c r="GV45" i="22"/>
  <c r="GZ65" i="22"/>
  <c r="GU70" i="22"/>
  <c r="GY70" i="22" s="1"/>
  <c r="GU71" i="22"/>
  <c r="GY71" i="22" s="1"/>
  <c r="GU62" i="22"/>
  <c r="HB62" i="22" s="1"/>
  <c r="GU60" i="22"/>
  <c r="GW60" i="22" s="1"/>
  <c r="GU37" i="22"/>
  <c r="GZ37" i="22" s="1"/>
  <c r="GV65" i="22"/>
  <c r="GW65" i="22"/>
  <c r="HA65" i="22"/>
  <c r="HB65" i="22"/>
  <c r="GX65" i="22"/>
  <c r="GU43" i="22"/>
  <c r="GZ43" i="22" s="1"/>
  <c r="GX46" i="22"/>
  <c r="CJ46" i="22"/>
  <c r="GV46" i="22"/>
  <c r="HB46" i="22"/>
  <c r="GW46" i="22"/>
  <c r="GZ46" i="22"/>
  <c r="GY46" i="22"/>
  <c r="BW16" i="23"/>
  <c r="P39" i="23" s="1"/>
  <c r="AB31" i="23" s="1"/>
  <c r="GX60" i="22"/>
  <c r="HA56" i="22"/>
  <c r="GZ56" i="22"/>
  <c r="GW56" i="22"/>
  <c r="GV56" i="22"/>
  <c r="GY56" i="22" s="1"/>
  <c r="GX56" i="22"/>
  <c r="GU30" i="22"/>
  <c r="GW30" i="22" s="1"/>
  <c r="GU63" i="22"/>
  <c r="GZ63" i="22" s="1"/>
  <c r="GU72" i="22"/>
  <c r="HA72" i="22" s="1"/>
  <c r="HB60" i="22"/>
  <c r="GZ35" i="22"/>
  <c r="GW35" i="22"/>
  <c r="HA35" i="22"/>
  <c r="GX35" i="22"/>
  <c r="GY35" i="22"/>
  <c r="GV35" i="22"/>
  <c r="HB35" i="22"/>
  <c r="GZ36" i="22"/>
  <c r="GU42" i="22"/>
  <c r="GX36" i="22"/>
  <c r="GU54" i="22"/>
  <c r="GX54" i="22" s="1"/>
  <c r="HA60" i="22"/>
  <c r="GW67" i="22"/>
  <c r="GY67" i="22" s="1"/>
  <c r="GV36" i="22"/>
  <c r="HA36" i="22"/>
  <c r="GW36" i="22"/>
  <c r="HB36" i="22"/>
  <c r="CJ36" i="22"/>
  <c r="GU31" i="22"/>
  <c r="HA31" i="22" s="1"/>
  <c r="HA41" i="22"/>
  <c r="GZ60" i="22"/>
  <c r="GY41" i="22"/>
  <c r="GX69" i="22"/>
  <c r="GV69" i="22"/>
  <c r="GU64" i="22"/>
  <c r="GV41" i="22"/>
  <c r="GX41" i="22"/>
  <c r="GZ41" i="22"/>
  <c r="HC41" i="22" s="1"/>
  <c r="CJ41" i="22"/>
  <c r="GW41" i="22"/>
  <c r="GY69" i="22"/>
  <c r="GZ67" i="22"/>
  <c r="GV67" i="22"/>
  <c r="HB69" i="22"/>
  <c r="HA69" i="22"/>
  <c r="GX67" i="22"/>
  <c r="GZ69" i="22"/>
  <c r="HA67" i="22"/>
  <c r="GU55" i="22"/>
  <c r="HB55" i="22" s="1"/>
  <c r="HA58" i="22"/>
  <c r="HA73" i="22"/>
  <c r="HA61" i="22"/>
  <c r="GV58" i="22"/>
  <c r="GY58" i="22" s="1"/>
  <c r="GX58" i="22"/>
  <c r="HB61" i="22"/>
  <c r="GX61" i="22"/>
  <c r="HB58" i="22"/>
  <c r="GW58" i="22"/>
  <c r="GU38" i="22"/>
  <c r="GX38" i="22" s="1"/>
  <c r="GX32" i="22"/>
  <c r="HB66" i="22"/>
  <c r="GZ66" i="22"/>
  <c r="GW66" i="22"/>
  <c r="GX49" i="22"/>
  <c r="GV49" i="22"/>
  <c r="GZ49" i="22"/>
  <c r="CJ49" i="22"/>
  <c r="CJ32" i="22"/>
  <c r="HA66" i="22"/>
  <c r="GY49" i="22"/>
  <c r="GZ32" i="22"/>
  <c r="GW49" i="22"/>
  <c r="GW32" i="22"/>
  <c r="GV32" i="22"/>
  <c r="GY32" i="22" s="1"/>
  <c r="HB32" i="22"/>
  <c r="HB49" i="22"/>
  <c r="GV66" i="22"/>
  <c r="GX66" i="22"/>
  <c r="HA34" i="22"/>
  <c r="GV34" i="22"/>
  <c r="GY34" i="22" s="1"/>
  <c r="CJ34" i="22"/>
  <c r="GZ34" i="22"/>
  <c r="GX34" i="22"/>
  <c r="GW34" i="22"/>
  <c r="HA59" i="22"/>
  <c r="GY73" i="22"/>
  <c r="GW73" i="22"/>
  <c r="HB73" i="22"/>
  <c r="GV73" i="22"/>
  <c r="GX73" i="22"/>
  <c r="GW68" i="22"/>
  <c r="GX68" i="22"/>
  <c r="GY61" i="22"/>
  <c r="GV61" i="22"/>
  <c r="GW61" i="22"/>
  <c r="GW59" i="22"/>
  <c r="HA68" i="22"/>
  <c r="GV59" i="22"/>
  <c r="HB68" i="22"/>
  <c r="GZ59" i="22"/>
  <c r="GY68" i="22"/>
  <c r="GX59" i="22"/>
  <c r="HB59" i="22"/>
  <c r="GV68" i="22"/>
  <c r="GV57" i="22"/>
  <c r="GW57" i="22"/>
  <c r="HB70" i="22"/>
  <c r="GZ47" i="22"/>
  <c r="HB47" i="22"/>
  <c r="HA47" i="22"/>
  <c r="GX47" i="22"/>
  <c r="GV47" i="22"/>
  <c r="GW47" i="22"/>
  <c r="CJ47" i="22"/>
  <c r="GY47" i="22"/>
  <c r="GZ57" i="22"/>
  <c r="HC45" i="22"/>
  <c r="HI45" i="22" s="1"/>
  <c r="HB57" i="22"/>
  <c r="GX57" i="22"/>
  <c r="GY57" i="22" s="1"/>
  <c r="GW70" i="22"/>
  <c r="GV70" i="22"/>
  <c r="GX70" i="22"/>
  <c r="GZ70" i="22"/>
  <c r="HA70" i="22"/>
  <c r="GX44" i="22"/>
  <c r="CJ44" i="22"/>
  <c r="HA44" i="22"/>
  <c r="GU48" i="22"/>
  <c r="GZ48" i="22" s="1"/>
  <c r="GZ44" i="22"/>
  <c r="GY39" i="22"/>
  <c r="GW44" i="22"/>
  <c r="GV44" i="22"/>
  <c r="GY44" i="22"/>
  <c r="HB39" i="22"/>
  <c r="CJ39" i="22"/>
  <c r="GU40" i="22"/>
  <c r="GX40" i="22" s="1"/>
  <c r="HB33" i="22"/>
  <c r="CJ33" i="22"/>
  <c r="GZ33" i="22"/>
  <c r="GV33" i="22"/>
  <c r="GY33" i="22" s="1"/>
  <c r="GX33" i="22"/>
  <c r="GW33" i="22"/>
  <c r="CI27" i="22"/>
  <c r="GX39" i="22"/>
  <c r="GW39" i="22"/>
  <c r="HA39" i="22"/>
  <c r="GZ39" i="22"/>
  <c r="GV71" i="22"/>
  <c r="BW37" i="23"/>
  <c r="P60" i="23" s="1"/>
  <c r="S48" i="23" s="1"/>
  <c r="GZ71" i="22"/>
  <c r="CJ37" i="22" l="1"/>
  <c r="HA71" i="22"/>
  <c r="GV37" i="22"/>
  <c r="GY60" i="22"/>
  <c r="GW62" i="22"/>
  <c r="GW71" i="22"/>
  <c r="HB71" i="22"/>
  <c r="HC71" i="22" s="1"/>
  <c r="HI71" i="22" s="1"/>
  <c r="HA62" i="22"/>
  <c r="GY62" i="22"/>
  <c r="GZ62" i="22"/>
  <c r="GV62" i="22"/>
  <c r="GX71" i="22"/>
  <c r="GX62" i="22"/>
  <c r="HA37" i="22"/>
  <c r="GY37" i="22"/>
  <c r="GX37" i="22"/>
  <c r="HB37" i="22"/>
  <c r="GW37" i="22"/>
  <c r="GV60" i="22"/>
  <c r="HA43" i="22"/>
  <c r="HB43" i="22"/>
  <c r="HC65" i="22"/>
  <c r="GW43" i="22"/>
  <c r="GX43" i="22"/>
  <c r="GV43" i="22"/>
  <c r="GY43" i="22" s="1"/>
  <c r="CJ43" i="22"/>
  <c r="HC56" i="22"/>
  <c r="HI56" i="22" s="1"/>
  <c r="HC46" i="22"/>
  <c r="HF46" i="22" s="1"/>
  <c r="HB54" i="22"/>
  <c r="GX63" i="22"/>
  <c r="HB63" i="22"/>
  <c r="HA63" i="22"/>
  <c r="GY63" i="22"/>
  <c r="GW63" i="22"/>
  <c r="AB32" i="23"/>
  <c r="S34" i="23"/>
  <c r="V34" i="23" s="1"/>
  <c r="BK89" i="23" s="1"/>
  <c r="S33" i="23"/>
  <c r="X33" i="23" s="1"/>
  <c r="S27" i="23"/>
  <c r="AW27" i="23" s="1"/>
  <c r="S26" i="23"/>
  <c r="AW26" i="23" s="1"/>
  <c r="S30" i="23"/>
  <c r="X30" i="23" s="1"/>
  <c r="AB35" i="23"/>
  <c r="S29" i="23"/>
  <c r="X29" i="23" s="1"/>
  <c r="AB26" i="23"/>
  <c r="S28" i="23"/>
  <c r="U28" i="23" s="1"/>
  <c r="X28" i="23" s="1"/>
  <c r="S35" i="23"/>
  <c r="V35" i="23" s="1"/>
  <c r="BI90" i="23" s="1"/>
  <c r="AB34" i="23"/>
  <c r="AB33" i="23"/>
  <c r="AB29" i="23"/>
  <c r="AB30" i="23"/>
  <c r="S32" i="23"/>
  <c r="X32" i="23" s="1"/>
  <c r="S31" i="23"/>
  <c r="GV63" i="22"/>
  <c r="CJ30" i="22"/>
  <c r="HA30" i="22"/>
  <c r="GZ30" i="22"/>
  <c r="GY30" i="22"/>
  <c r="GV30" i="22"/>
  <c r="GX30" i="22"/>
  <c r="HB30" i="22"/>
  <c r="GV54" i="22"/>
  <c r="GV72" i="22"/>
  <c r="GZ72" i="22"/>
  <c r="HB72" i="22"/>
  <c r="GW72" i="22"/>
  <c r="GX72" i="22"/>
  <c r="GY72" i="22"/>
  <c r="GX31" i="22"/>
  <c r="HC35" i="22"/>
  <c r="HJ35" i="22" s="1"/>
  <c r="GW31" i="22"/>
  <c r="GV31" i="22"/>
  <c r="GZ55" i="22"/>
  <c r="HA55" i="22"/>
  <c r="CJ42" i="22"/>
  <c r="GY42" i="22"/>
  <c r="HB42" i="22"/>
  <c r="GV42" i="22"/>
  <c r="GX42" i="22"/>
  <c r="HA42" i="22"/>
  <c r="GW42" i="22"/>
  <c r="GZ42" i="22"/>
  <c r="GZ54" i="22"/>
  <c r="GW54" i="22"/>
  <c r="HA54" i="22"/>
  <c r="HB31" i="22"/>
  <c r="CJ31" i="22"/>
  <c r="GZ31" i="22"/>
  <c r="HC60" i="22"/>
  <c r="HE60" i="22" s="1"/>
  <c r="HC36" i="22"/>
  <c r="HG36" i="22" s="1"/>
  <c r="GW55" i="22"/>
  <c r="GV55" i="22"/>
  <c r="HC61" i="22"/>
  <c r="HG61" i="22" s="1"/>
  <c r="HB64" i="22"/>
  <c r="GX64" i="22"/>
  <c r="GZ64" i="22"/>
  <c r="GW64" i="22"/>
  <c r="GV64" i="22"/>
  <c r="GY64" i="22"/>
  <c r="HA64" i="22"/>
  <c r="HC69" i="22"/>
  <c r="HF69" i="22" s="1"/>
  <c r="HC67" i="22"/>
  <c r="HI67" i="22" s="1"/>
  <c r="HC73" i="22"/>
  <c r="HG73" i="22" s="1"/>
  <c r="GX55" i="22"/>
  <c r="HC58" i="22"/>
  <c r="HJ58" i="22" s="1"/>
  <c r="HC66" i="22"/>
  <c r="HD66" i="22" s="1"/>
  <c r="HB38" i="22"/>
  <c r="HA38" i="22"/>
  <c r="GY38" i="22"/>
  <c r="GV38" i="22"/>
  <c r="GZ38" i="22"/>
  <c r="CJ38" i="22"/>
  <c r="GW38" i="22"/>
  <c r="GY31" i="22"/>
  <c r="GY55" i="22"/>
  <c r="HC32" i="22"/>
  <c r="HE32" i="22" s="1"/>
  <c r="HC49" i="22"/>
  <c r="GY54" i="22"/>
  <c r="HC34" i="22"/>
  <c r="HC57" i="22"/>
  <c r="HI57" i="22" s="1"/>
  <c r="HC68" i="22"/>
  <c r="HD68" i="22" s="1"/>
  <c r="HC59" i="22"/>
  <c r="HJ59" i="22" s="1"/>
  <c r="HC70" i="22"/>
  <c r="HG70" i="22" s="1"/>
  <c r="HD45" i="22"/>
  <c r="HH45" i="22"/>
  <c r="HG45" i="22"/>
  <c r="GV48" i="22"/>
  <c r="HA48" i="22"/>
  <c r="HJ45" i="22"/>
  <c r="HF45" i="22"/>
  <c r="CK45" i="22"/>
  <c r="HE45" i="22"/>
  <c r="HC47" i="22"/>
  <c r="HC44" i="22"/>
  <c r="HF44" i="22" s="1"/>
  <c r="HB48" i="22"/>
  <c r="GW48" i="22"/>
  <c r="GY48" i="22"/>
  <c r="CJ48" i="22"/>
  <c r="GX48" i="22"/>
  <c r="HC39" i="22"/>
  <c r="HD39" i="22" s="1"/>
  <c r="HC33" i="22"/>
  <c r="HF33" i="22" s="1"/>
  <c r="GW40" i="22"/>
  <c r="CJ40" i="22"/>
  <c r="GY40" i="22"/>
  <c r="GZ40" i="22"/>
  <c r="HB40" i="22"/>
  <c r="HA40" i="22"/>
  <c r="GV40" i="22"/>
  <c r="AB54" i="23"/>
  <c r="S54" i="23"/>
  <c r="U54" i="23" s="1"/>
  <c r="S55" i="23"/>
  <c r="V55" i="23" s="1"/>
  <c r="AB52" i="23"/>
  <c r="S50" i="23"/>
  <c r="V50" i="23" s="1"/>
  <c r="S52" i="23"/>
  <c r="AW52" i="23" s="1"/>
  <c r="S51" i="23"/>
  <c r="V51" i="23" s="1"/>
  <c r="AB56" i="23"/>
  <c r="S47" i="23"/>
  <c r="U47" i="23" s="1"/>
  <c r="X47" i="23" s="1"/>
  <c r="AB51" i="23"/>
  <c r="S53" i="23"/>
  <c r="V53" i="23" s="1"/>
  <c r="S49" i="23"/>
  <c r="U49" i="23" s="1"/>
  <c r="X49" i="23" s="1"/>
  <c r="AB53" i="23"/>
  <c r="AB50" i="23"/>
  <c r="S56" i="23"/>
  <c r="U56" i="23" s="1"/>
  <c r="AB47" i="23"/>
  <c r="AB55" i="23"/>
  <c r="HH41" i="22"/>
  <c r="HF41" i="22"/>
  <c r="HI41" i="22"/>
  <c r="HE41" i="22"/>
  <c r="CK41" i="22"/>
  <c r="HG41" i="22"/>
  <c r="HD41" i="22"/>
  <c r="HJ41" i="22"/>
  <c r="U48" i="23"/>
  <c r="X48" i="23" s="1"/>
  <c r="AW48" i="23"/>
  <c r="HC62" i="22" l="1"/>
  <c r="HE62" i="22" s="1"/>
  <c r="HC37" i="22"/>
  <c r="HD37" i="22" s="1"/>
  <c r="HC43" i="22"/>
  <c r="HJ43" i="22" s="1"/>
  <c r="HD46" i="22"/>
  <c r="HG46" i="22"/>
  <c r="HE46" i="22"/>
  <c r="HJ65" i="22"/>
  <c r="HI65" i="22"/>
  <c r="HG65" i="22"/>
  <c r="HF65" i="22"/>
  <c r="HD65" i="22"/>
  <c r="HH65" i="22"/>
  <c r="HE65" i="22"/>
  <c r="CK46" i="22"/>
  <c r="HF56" i="22"/>
  <c r="HE56" i="22"/>
  <c r="HG56" i="22" s="1"/>
  <c r="HJ46" i="22"/>
  <c r="HH56" i="22"/>
  <c r="HD56" i="22"/>
  <c r="HJ56" i="22"/>
  <c r="HH46" i="22"/>
  <c r="HI46" i="22"/>
  <c r="HC63" i="22"/>
  <c r="HH63" i="22" s="1"/>
  <c r="HC30" i="22"/>
  <c r="HI30" i="22" s="1"/>
  <c r="U33" i="23"/>
  <c r="V33" i="23"/>
  <c r="BM88" i="23" s="1"/>
  <c r="AC35" i="23"/>
  <c r="AD35" i="23" s="1"/>
  <c r="AE35" i="23" s="1"/>
  <c r="AL35" i="23" s="1"/>
  <c r="AM35" i="23" s="1"/>
  <c r="AW35" i="23"/>
  <c r="AP35" i="23" s="1"/>
  <c r="X35" i="23"/>
  <c r="U35" i="23"/>
  <c r="AW33" i="23"/>
  <c r="AP33" i="23" s="1"/>
  <c r="U34" i="23"/>
  <c r="BJ90" i="23"/>
  <c r="U27" i="23"/>
  <c r="X27" i="23" s="1"/>
  <c r="AW28" i="23"/>
  <c r="W28" i="23" s="1"/>
  <c r="BI28" i="23" s="1"/>
  <c r="BM90" i="23"/>
  <c r="Z35" i="23"/>
  <c r="HD35" i="22"/>
  <c r="HF35" i="22"/>
  <c r="AA35" i="23"/>
  <c r="Y35" i="23"/>
  <c r="AW30" i="23"/>
  <c r="AP30" i="23" s="1"/>
  <c r="U29" i="23"/>
  <c r="U30" i="23"/>
  <c r="BN90" i="23"/>
  <c r="BL90" i="23"/>
  <c r="V30" i="23"/>
  <c r="BL85" i="23" s="1"/>
  <c r="U32" i="23"/>
  <c r="AW32" i="23"/>
  <c r="Z34" i="23"/>
  <c r="V32" i="23"/>
  <c r="AA32" i="23" s="1"/>
  <c r="V29" i="23"/>
  <c r="AC29" i="23" s="1"/>
  <c r="AD29" i="23" s="1"/>
  <c r="U26" i="23"/>
  <c r="AW34" i="23"/>
  <c r="AP34" i="23" s="1"/>
  <c r="X34" i="23"/>
  <c r="AW29" i="23"/>
  <c r="BK90" i="23"/>
  <c r="AA34" i="23"/>
  <c r="V31" i="23"/>
  <c r="X31" i="23"/>
  <c r="AW31" i="23"/>
  <c r="U31" i="23"/>
  <c r="BN89" i="23"/>
  <c r="Y34" i="23"/>
  <c r="BI89" i="23"/>
  <c r="BM89" i="23"/>
  <c r="AC34" i="23"/>
  <c r="AD34" i="23" s="1"/>
  <c r="AG34" i="23" s="1"/>
  <c r="AH34" i="23" s="1"/>
  <c r="BL89" i="23"/>
  <c r="BJ89" i="23"/>
  <c r="HI35" i="22"/>
  <c r="HG35" i="22"/>
  <c r="HE35" i="22"/>
  <c r="HC72" i="22"/>
  <c r="HJ72" i="22" s="1"/>
  <c r="HD36" i="22"/>
  <c r="HC55" i="22"/>
  <c r="HH55" i="22" s="1"/>
  <c r="HH35" i="22"/>
  <c r="CK35" i="22"/>
  <c r="HE36" i="22"/>
  <c r="AC51" i="23"/>
  <c r="AD51" i="23" s="1"/>
  <c r="AE51" i="23" s="1"/>
  <c r="AL51" i="23" s="1"/>
  <c r="AC55" i="23"/>
  <c r="AD55" i="23" s="1"/>
  <c r="AE55" i="23" s="1"/>
  <c r="AL55" i="23" s="1"/>
  <c r="AC50" i="23"/>
  <c r="AD50" i="23" s="1"/>
  <c r="AE50" i="23" s="1"/>
  <c r="AL50" i="23" s="1"/>
  <c r="AC53" i="23"/>
  <c r="AD53" i="23" s="1"/>
  <c r="AE53" i="23" s="1"/>
  <c r="AL53" i="23" s="1"/>
  <c r="HH69" i="22"/>
  <c r="HC54" i="22"/>
  <c r="HF54" i="22" s="1"/>
  <c r="HG60" i="22"/>
  <c r="HC31" i="22"/>
  <c r="CK31" i="22" s="1"/>
  <c r="HJ61" i="22"/>
  <c r="HC42" i="22"/>
  <c r="HH42" i="22" s="1"/>
  <c r="HJ73" i="22"/>
  <c r="HI73" i="22"/>
  <c r="HE73" i="22"/>
  <c r="HI60" i="22"/>
  <c r="HH73" i="22"/>
  <c r="HF60" i="22"/>
  <c r="HF73" i="22"/>
  <c r="HH60" i="22"/>
  <c r="HD60" i="22"/>
  <c r="HD73" i="22"/>
  <c r="HJ60" i="22"/>
  <c r="HH67" i="22"/>
  <c r="HI69" i="22"/>
  <c r="CK36" i="22"/>
  <c r="HG67" i="22"/>
  <c r="HJ36" i="22"/>
  <c r="HG69" i="22"/>
  <c r="HI36" i="22"/>
  <c r="HD69" i="22"/>
  <c r="HH36" i="22"/>
  <c r="HF36" i="22"/>
  <c r="HF67" i="22"/>
  <c r="HD61" i="22"/>
  <c r="HD67" i="22"/>
  <c r="HE67" i="22"/>
  <c r="HJ67" i="22"/>
  <c r="HF61" i="22"/>
  <c r="HI61" i="22"/>
  <c r="HE69" i="22"/>
  <c r="HC64" i="22"/>
  <c r="HH61" i="22"/>
  <c r="HE61" i="22"/>
  <c r="HJ69" i="22"/>
  <c r="HH62" i="22"/>
  <c r="HH58" i="22"/>
  <c r="HI62" i="22"/>
  <c r="HD58" i="22"/>
  <c r="HE58" i="22"/>
  <c r="HF58" i="22"/>
  <c r="HJ66" i="22"/>
  <c r="HI58" i="22"/>
  <c r="HE66" i="22"/>
  <c r="HG58" i="22"/>
  <c r="HG62" i="22"/>
  <c r="HJ62" i="22"/>
  <c r="HF62" i="22"/>
  <c r="HD62" i="22"/>
  <c r="HE57" i="22"/>
  <c r="HI66" i="22"/>
  <c r="HH66" i="22"/>
  <c r="HG66" i="22"/>
  <c r="HF66" i="22"/>
  <c r="HC38" i="22"/>
  <c r="HJ38" i="22" s="1"/>
  <c r="HF57" i="22"/>
  <c r="HD57" i="22"/>
  <c r="HG57" i="22" s="1"/>
  <c r="HH32" i="22"/>
  <c r="CK32" i="22"/>
  <c r="HD32" i="22"/>
  <c r="HH57" i="22"/>
  <c r="HI32" i="22"/>
  <c r="HF32" i="22"/>
  <c r="HJ32" i="22"/>
  <c r="HE49" i="22"/>
  <c r="HG49" i="22"/>
  <c r="HD49" i="22"/>
  <c r="CK49" i="22"/>
  <c r="HH49" i="22"/>
  <c r="HI49" i="22"/>
  <c r="HJ49" i="22"/>
  <c r="HF49" i="22"/>
  <c r="HJ34" i="22"/>
  <c r="HI34" i="22"/>
  <c r="HD34" i="22"/>
  <c r="HE34" i="22"/>
  <c r="HF34" i="22"/>
  <c r="CK34" i="22"/>
  <c r="HH34" i="22"/>
  <c r="HG34" i="22"/>
  <c r="HJ57" i="22"/>
  <c r="HE59" i="22"/>
  <c r="HI59" i="22"/>
  <c r="HC48" i="22"/>
  <c r="HG48" i="22" s="1"/>
  <c r="HF59" i="22"/>
  <c r="HH59" i="22"/>
  <c r="HD59" i="22"/>
  <c r="HG59" i="22"/>
  <c r="HE37" i="22"/>
  <c r="HJ70" i="22"/>
  <c r="HH68" i="22"/>
  <c r="HG68" i="22"/>
  <c r="HI68" i="22"/>
  <c r="HE68" i="22"/>
  <c r="HH37" i="22"/>
  <c r="CK37" i="22"/>
  <c r="HJ68" i="22"/>
  <c r="HF68" i="22"/>
  <c r="CK43" i="22"/>
  <c r="HJ37" i="22"/>
  <c r="HI37" i="22"/>
  <c r="HG37" i="22"/>
  <c r="HF37" i="22"/>
  <c r="HI43" i="22"/>
  <c r="HH70" i="22"/>
  <c r="HF43" i="22"/>
  <c r="HD70" i="22"/>
  <c r="HF70" i="22"/>
  <c r="HD43" i="22"/>
  <c r="HE43" i="22"/>
  <c r="HG43" i="22"/>
  <c r="HI70" i="22"/>
  <c r="HH43" i="22"/>
  <c r="HE70" i="22"/>
  <c r="HK45" i="22"/>
  <c r="HP45" i="22" s="1"/>
  <c r="HG39" i="22"/>
  <c r="HI39" i="22"/>
  <c r="HJ39" i="22"/>
  <c r="HH44" i="22"/>
  <c r="CK39" i="22"/>
  <c r="HF39" i="22"/>
  <c r="HH39" i="22"/>
  <c r="HG44" i="22"/>
  <c r="HD44" i="22"/>
  <c r="HI44" i="22"/>
  <c r="HJ44" i="22"/>
  <c r="HG47" i="22"/>
  <c r="CK47" i="22"/>
  <c r="HJ47" i="22"/>
  <c r="HF47" i="22"/>
  <c r="HE47" i="22"/>
  <c r="HH47" i="22"/>
  <c r="HD47" i="22"/>
  <c r="HI47" i="22"/>
  <c r="HE44" i="22"/>
  <c r="CK44" i="22"/>
  <c r="HE33" i="22"/>
  <c r="HG33" i="22" s="1"/>
  <c r="CJ27" i="22"/>
  <c r="HE39" i="22"/>
  <c r="HC40" i="22"/>
  <c r="HD40" i="22" s="1"/>
  <c r="HI33" i="22"/>
  <c r="HD33" i="22"/>
  <c r="HJ33" i="22"/>
  <c r="HH33" i="22"/>
  <c r="CK33" i="22"/>
  <c r="HD71" i="22"/>
  <c r="HH71" i="22"/>
  <c r="HJ71" i="22"/>
  <c r="U51" i="23"/>
  <c r="HG71" i="22"/>
  <c r="HF71" i="22"/>
  <c r="HE71" i="22"/>
  <c r="AW56" i="23"/>
  <c r="AP56" i="23" s="1"/>
  <c r="AW47" i="23"/>
  <c r="W47" i="23" s="1"/>
  <c r="V47" i="23" s="1"/>
  <c r="BM97" i="23" s="1"/>
  <c r="X50" i="23"/>
  <c r="AW50" i="23"/>
  <c r="AP50" i="23" s="1"/>
  <c r="U50" i="23"/>
  <c r="V52" i="23"/>
  <c r="BK102" i="23" s="1"/>
  <c r="V54" i="23"/>
  <c r="Y54" i="23" s="1"/>
  <c r="AW55" i="23"/>
  <c r="AP55" i="23" s="1"/>
  <c r="AW53" i="23"/>
  <c r="AP53" i="23" s="1"/>
  <c r="AW51" i="23"/>
  <c r="AP51" i="23" s="1"/>
  <c r="U52" i="23"/>
  <c r="W52" i="23" s="1"/>
  <c r="BI52" i="23" s="1"/>
  <c r="X56" i="23"/>
  <c r="V56" i="23"/>
  <c r="Z56" i="23" s="1"/>
  <c r="X51" i="23"/>
  <c r="AW49" i="23"/>
  <c r="W49" i="23" s="1"/>
  <c r="BJ48" i="23" s="1"/>
  <c r="X55" i="23"/>
  <c r="AW54" i="23"/>
  <c r="AP54" i="23" s="1"/>
  <c r="U53" i="23"/>
  <c r="U55" i="23"/>
  <c r="X54" i="23"/>
  <c r="X53" i="23"/>
  <c r="X52" i="23"/>
  <c r="HK41" i="22"/>
  <c r="AP52" i="23"/>
  <c r="BL100" i="23"/>
  <c r="BN100" i="23"/>
  <c r="BI100" i="23"/>
  <c r="AA50" i="23"/>
  <c r="BJ100" i="23"/>
  <c r="BM100" i="23"/>
  <c r="Z50" i="23"/>
  <c r="BK100" i="23"/>
  <c r="Y50" i="23"/>
  <c r="BI103" i="23"/>
  <c r="Z53" i="23"/>
  <c r="BM103" i="23"/>
  <c r="BK103" i="23"/>
  <c r="Y53" i="23"/>
  <c r="BL103" i="23"/>
  <c r="AA53" i="23"/>
  <c r="BN103" i="23"/>
  <c r="BJ103" i="23"/>
  <c r="Z55" i="23"/>
  <c r="BN105" i="23"/>
  <c r="BM105" i="23"/>
  <c r="Y55" i="23"/>
  <c r="BK105" i="23"/>
  <c r="BJ105" i="23"/>
  <c r="BI105" i="23"/>
  <c r="AA55" i="23"/>
  <c r="BL105" i="23"/>
  <c r="W48" i="23"/>
  <c r="V48" i="23" s="1"/>
  <c r="BJ98" i="23" s="1"/>
  <c r="BL101" i="23"/>
  <c r="Z51" i="23"/>
  <c r="BI101" i="23"/>
  <c r="BN101" i="23"/>
  <c r="BM101" i="23"/>
  <c r="BK101" i="23"/>
  <c r="Y51" i="23"/>
  <c r="AA51" i="23"/>
  <c r="BJ101" i="23"/>
  <c r="V28" i="23" l="1"/>
  <c r="BL83" i="23" s="1"/>
  <c r="HK65" i="22"/>
  <c r="HK46" i="22"/>
  <c r="HQ46" i="22" s="1"/>
  <c r="HK56" i="22"/>
  <c r="HM56" i="22" s="1"/>
  <c r="HH30" i="22"/>
  <c r="HD30" i="22"/>
  <c r="HD63" i="22"/>
  <c r="HE63" i="22"/>
  <c r="HG63" i="22"/>
  <c r="HJ63" i="22"/>
  <c r="HF63" i="22"/>
  <c r="HJ30" i="22"/>
  <c r="HI63" i="22"/>
  <c r="CK30" i="22"/>
  <c r="HF30" i="22"/>
  <c r="HG30" i="22" s="1"/>
  <c r="HJ55" i="22"/>
  <c r="HE30" i="22"/>
  <c r="AF35" i="23"/>
  <c r="AG35" i="23"/>
  <c r="AH35" i="23" s="1"/>
  <c r="AV35" i="23" s="1"/>
  <c r="BI88" i="23"/>
  <c r="BK88" i="23"/>
  <c r="BJ88" i="23"/>
  <c r="BN88" i="23"/>
  <c r="AA33" i="23"/>
  <c r="AC33" i="23"/>
  <c r="AD33" i="23" s="1"/>
  <c r="AE33" i="23" s="1"/>
  <c r="AL33" i="23" s="1"/>
  <c r="AM33" i="23" s="1"/>
  <c r="Z33" i="23"/>
  <c r="Y33" i="23"/>
  <c r="BL88" i="23"/>
  <c r="HD55" i="22"/>
  <c r="W33" i="23"/>
  <c r="BI33" i="23" s="1"/>
  <c r="W35" i="23"/>
  <c r="BI35" i="23" s="1"/>
  <c r="W27" i="23"/>
  <c r="BJ26" i="23" s="1"/>
  <c r="BN85" i="23"/>
  <c r="BN87" i="23"/>
  <c r="BM85" i="23"/>
  <c r="BI85" i="23"/>
  <c r="BJ85" i="23"/>
  <c r="Y30" i="23"/>
  <c r="Z30" i="23"/>
  <c r="AA30" i="23"/>
  <c r="AC30" i="23"/>
  <c r="AD30" i="23" s="1"/>
  <c r="AE30" i="23" s="1"/>
  <c r="AL30" i="23" s="1"/>
  <c r="AM30" i="23" s="1"/>
  <c r="BK85" i="23"/>
  <c r="W30" i="23"/>
  <c r="BI30" i="23" s="1"/>
  <c r="Z29" i="23"/>
  <c r="AE29" i="23"/>
  <c r="AL29" i="23" s="1"/>
  <c r="AM29" i="23" s="1"/>
  <c r="AG29" i="23"/>
  <c r="AH29" i="23" s="1"/>
  <c r="AF29" i="23"/>
  <c r="X26" i="23"/>
  <c r="W26" i="23"/>
  <c r="AA29" i="23"/>
  <c r="Y29" i="23"/>
  <c r="BK84" i="23"/>
  <c r="BM84" i="23"/>
  <c r="BI84" i="23"/>
  <c r="BJ84" i="23"/>
  <c r="BK87" i="23"/>
  <c r="BL87" i="23"/>
  <c r="Z32" i="23"/>
  <c r="BJ87" i="23"/>
  <c r="AC32" i="23"/>
  <c r="AD32" i="23" s="1"/>
  <c r="BI87" i="23"/>
  <c r="Y32" i="23"/>
  <c r="BM87" i="23"/>
  <c r="BN84" i="23"/>
  <c r="BL84" i="23"/>
  <c r="W32" i="23"/>
  <c r="BI32" i="23" s="1"/>
  <c r="AP32" i="23"/>
  <c r="AP29" i="23"/>
  <c r="W29" i="23"/>
  <c r="BI29" i="23" s="1"/>
  <c r="W34" i="23"/>
  <c r="BI34" i="23" s="1"/>
  <c r="AE34" i="23"/>
  <c r="AL34" i="23" s="1"/>
  <c r="AM34" i="23" s="1"/>
  <c r="AV34" i="23" s="1"/>
  <c r="AF34" i="23"/>
  <c r="AP31" i="23"/>
  <c r="W31" i="23"/>
  <c r="BI31" i="23" s="1"/>
  <c r="BJ86" i="23"/>
  <c r="Y31" i="23"/>
  <c r="BM86" i="23"/>
  <c r="BN86" i="23"/>
  <c r="BK86" i="23"/>
  <c r="AA31" i="23"/>
  <c r="Z31" i="23"/>
  <c r="BL86" i="23"/>
  <c r="BI86" i="23"/>
  <c r="AC31" i="23"/>
  <c r="AD31" i="23" s="1"/>
  <c r="HK35" i="22"/>
  <c r="CL35" i="22" s="1"/>
  <c r="HG72" i="22"/>
  <c r="HI55" i="22"/>
  <c r="HE55" i="22"/>
  <c r="HF55" i="22"/>
  <c r="HE72" i="22"/>
  <c r="HF72" i="22"/>
  <c r="HH72" i="22"/>
  <c r="HD72" i="22"/>
  <c r="HI72" i="22"/>
  <c r="HF31" i="22"/>
  <c r="HI54" i="22"/>
  <c r="AC52" i="23"/>
  <c r="AD52" i="23" s="1"/>
  <c r="AC56" i="23"/>
  <c r="AD56" i="23" s="1"/>
  <c r="AC47" i="23"/>
  <c r="AD47" i="23" s="1"/>
  <c r="AC54" i="23"/>
  <c r="AD54" i="23" s="1"/>
  <c r="HH54" i="22"/>
  <c r="HK69" i="22"/>
  <c r="HN69" i="22" s="1"/>
  <c r="HJ54" i="22"/>
  <c r="HI31" i="22"/>
  <c r="HJ31" i="22"/>
  <c r="HK60" i="22"/>
  <c r="HO60" i="22" s="1"/>
  <c r="HE54" i="22"/>
  <c r="HD54" i="22"/>
  <c r="HE31" i="22"/>
  <c r="HH31" i="22"/>
  <c r="HD31" i="22"/>
  <c r="HF42" i="22"/>
  <c r="HK73" i="22"/>
  <c r="HM73" i="22" s="1"/>
  <c r="HJ42" i="22"/>
  <c r="HK36" i="22"/>
  <c r="CL36" i="22" s="1"/>
  <c r="HK67" i="22"/>
  <c r="HM67" i="22" s="1"/>
  <c r="HD42" i="22"/>
  <c r="HI42" i="22"/>
  <c r="HE42" i="22"/>
  <c r="HG42" i="22"/>
  <c r="CK42" i="22"/>
  <c r="HN56" i="22"/>
  <c r="HK61" i="22"/>
  <c r="HM61" i="22" s="1"/>
  <c r="HI64" i="22"/>
  <c r="HG64" i="22"/>
  <c r="HF64" i="22"/>
  <c r="HH64" i="22"/>
  <c r="HJ64" i="22"/>
  <c r="HD64" i="22"/>
  <c r="HE64" i="22"/>
  <c r="W56" i="23"/>
  <c r="BI56" i="23" s="1"/>
  <c r="HK58" i="22"/>
  <c r="HP58" i="22" s="1"/>
  <c r="HK62" i="22"/>
  <c r="HN62" i="22" s="1"/>
  <c r="HK59" i="22"/>
  <c r="HM59" i="22" s="1"/>
  <c r="HK66" i="22"/>
  <c r="HL66" i="22" s="1"/>
  <c r="HI38" i="22"/>
  <c r="CK38" i="22"/>
  <c r="HD38" i="22"/>
  <c r="HK32" i="22"/>
  <c r="HR32" i="22" s="1"/>
  <c r="HG38" i="22"/>
  <c r="HH38" i="22"/>
  <c r="HE38" i="22"/>
  <c r="HF38" i="22"/>
  <c r="HJ48" i="22"/>
  <c r="HK57" i="22"/>
  <c r="HR57" i="22" s="1"/>
  <c r="HG31" i="22"/>
  <c r="HG32" i="22"/>
  <c r="HI48" i="22"/>
  <c r="HH48" i="22"/>
  <c r="HD48" i="22"/>
  <c r="HE48" i="22"/>
  <c r="HF48" i="22"/>
  <c r="CK48" i="22"/>
  <c r="HK34" i="22"/>
  <c r="HM34" i="22" s="1"/>
  <c r="HK49" i="22"/>
  <c r="HG55" i="22"/>
  <c r="HG54" i="22"/>
  <c r="HO46" i="22"/>
  <c r="HN46" i="22"/>
  <c r="HK37" i="22"/>
  <c r="CL37" i="22" s="1"/>
  <c r="HK43" i="22"/>
  <c r="HQ43" i="22" s="1"/>
  <c r="HK68" i="22"/>
  <c r="HL68" i="22" s="1"/>
  <c r="BM104" i="23"/>
  <c r="BJ104" i="23"/>
  <c r="HK70" i="22"/>
  <c r="HN70" i="22" s="1"/>
  <c r="HQ45" i="22"/>
  <c r="CL45" i="22"/>
  <c r="HL45" i="22"/>
  <c r="HN45" i="22"/>
  <c r="HR45" i="22"/>
  <c r="HK39" i="22"/>
  <c r="HL39" i="22" s="1"/>
  <c r="HM45" i="22"/>
  <c r="HO45" i="22"/>
  <c r="HK44" i="22"/>
  <c r="HQ44" i="22" s="1"/>
  <c r="HK47" i="22"/>
  <c r="CK40" i="22"/>
  <c r="HG40" i="22"/>
  <c r="HE40" i="22"/>
  <c r="HF40" i="22"/>
  <c r="HH40" i="22"/>
  <c r="HK33" i="22"/>
  <c r="HP33" i="22" s="1"/>
  <c r="HJ40" i="22"/>
  <c r="HI40" i="22"/>
  <c r="HK71" i="22"/>
  <c r="BK104" i="23"/>
  <c r="BL104" i="23"/>
  <c r="AA54" i="23"/>
  <c r="W51" i="23"/>
  <c r="BI51" i="23" s="1"/>
  <c r="AA52" i="23"/>
  <c r="BK106" i="23"/>
  <c r="BI102" i="23"/>
  <c r="W54" i="23"/>
  <c r="BI54" i="23" s="1"/>
  <c r="Y52" i="23"/>
  <c r="Z52" i="23"/>
  <c r="BN102" i="23"/>
  <c r="BL102" i="23"/>
  <c r="W50" i="23"/>
  <c r="BI50" i="23" s="1"/>
  <c r="Z54" i="23"/>
  <c r="BI104" i="23"/>
  <c r="BN104" i="23"/>
  <c r="W53" i="23"/>
  <c r="BI53" i="23" s="1"/>
  <c r="W55" i="23"/>
  <c r="BI55" i="23" s="1"/>
  <c r="BJ102" i="23"/>
  <c r="BM102" i="23"/>
  <c r="BL106" i="23"/>
  <c r="BN106" i="23"/>
  <c r="Y56" i="23"/>
  <c r="BM106" i="23"/>
  <c r="BI106" i="23"/>
  <c r="BJ106" i="23"/>
  <c r="AA56" i="23"/>
  <c r="BI49" i="23"/>
  <c r="V49" i="23"/>
  <c r="HQ41" i="22"/>
  <c r="HL41" i="22"/>
  <c r="HM41" i="22"/>
  <c r="CL41" i="22"/>
  <c r="HR41" i="22"/>
  <c r="HP41" i="22"/>
  <c r="HO41" i="22"/>
  <c r="HN41" i="22"/>
  <c r="BK97" i="23"/>
  <c r="BJ97" i="23"/>
  <c r="Z48" i="23"/>
  <c r="Z47" i="23"/>
  <c r="AA47" i="23"/>
  <c r="AA48" i="23"/>
  <c r="BI97" i="23"/>
  <c r="AP48" i="23"/>
  <c r="AP47" i="23"/>
  <c r="BN98" i="23"/>
  <c r="BL97" i="23"/>
  <c r="BL98" i="23"/>
  <c r="BN97" i="23"/>
  <c r="BK98" i="23"/>
  <c r="BI98" i="23"/>
  <c r="BM98" i="23"/>
  <c r="Y47" i="23"/>
  <c r="Y48" i="23"/>
  <c r="BI48" i="23"/>
  <c r="BJ47" i="23"/>
  <c r="BI47" i="23" s="1"/>
  <c r="AG50" i="23"/>
  <c r="AH50" i="23" s="1"/>
  <c r="AM50" i="23"/>
  <c r="AF50" i="23"/>
  <c r="AM53" i="23"/>
  <c r="AF53" i="23"/>
  <c r="AG53" i="23"/>
  <c r="AH53" i="23" s="1"/>
  <c r="AF51" i="23"/>
  <c r="AG51" i="23"/>
  <c r="AH51" i="23" s="1"/>
  <c r="AM51" i="23"/>
  <c r="AG55" i="23"/>
  <c r="AH55" i="23" s="1"/>
  <c r="AM55" i="23"/>
  <c r="AF55" i="23"/>
  <c r="AV51" i="23" l="1"/>
  <c r="AV50" i="23"/>
  <c r="BI83" i="23"/>
  <c r="AV55" i="23"/>
  <c r="AP28" i="23"/>
  <c r="AV53" i="23"/>
  <c r="Y28" i="23"/>
  <c r="AV29" i="23"/>
  <c r="Z28" i="23"/>
  <c r="BN83" i="23"/>
  <c r="BJ83" i="23"/>
  <c r="BM83" i="23"/>
  <c r="AA28" i="23"/>
  <c r="BK83" i="23"/>
  <c r="V26" i="23"/>
  <c r="AC26" i="23" s="1"/>
  <c r="AD26" i="23" s="1"/>
  <c r="AE26" i="23" s="1"/>
  <c r="AL26" i="23" s="1"/>
  <c r="AM26" i="23" s="1"/>
  <c r="V27" i="23"/>
  <c r="BK82" i="23" s="1"/>
  <c r="HL56" i="22"/>
  <c r="HO56" i="22" s="1"/>
  <c r="HR56" i="22"/>
  <c r="HP56" i="22"/>
  <c r="HP46" i="22"/>
  <c r="HM46" i="22"/>
  <c r="HQ56" i="22"/>
  <c r="HN65" i="22"/>
  <c r="HP65" i="22"/>
  <c r="HL65" i="22"/>
  <c r="HM65" i="22"/>
  <c r="HQ65" i="22"/>
  <c r="HR65" i="22"/>
  <c r="HO65" i="22"/>
  <c r="CL46" i="22"/>
  <c r="HL46" i="22"/>
  <c r="HR46" i="22"/>
  <c r="HK30" i="22"/>
  <c r="HP30" i="22" s="1"/>
  <c r="HK63" i="22"/>
  <c r="HO63" i="22" s="1"/>
  <c r="HK55" i="22"/>
  <c r="HN55" i="22" s="1"/>
  <c r="AF33" i="23"/>
  <c r="AG33" i="23"/>
  <c r="AH33" i="23" s="1"/>
  <c r="AV33" i="23" s="1"/>
  <c r="BI26" i="23"/>
  <c r="BI27" i="23"/>
  <c r="HR35" i="22"/>
  <c r="AG30" i="23"/>
  <c r="AH30" i="23" s="1"/>
  <c r="AV30" i="23" s="1"/>
  <c r="HL35" i="22"/>
  <c r="HO35" i="22"/>
  <c r="HM35" i="22"/>
  <c r="HP35" i="22"/>
  <c r="AF30" i="23"/>
  <c r="AF32" i="23"/>
  <c r="AG32" i="23"/>
  <c r="AH32" i="23" s="1"/>
  <c r="AE32" i="23"/>
  <c r="AL32" i="23" s="1"/>
  <c r="AM32" i="23" s="1"/>
  <c r="AE31" i="23"/>
  <c r="AL31" i="23" s="1"/>
  <c r="AM31" i="23" s="1"/>
  <c r="AF31" i="23"/>
  <c r="AG31" i="23"/>
  <c r="AH31" i="23" s="1"/>
  <c r="HQ35" i="22"/>
  <c r="HN35" i="22"/>
  <c r="AF47" i="23"/>
  <c r="AE47" i="23"/>
  <c r="AL47" i="23" s="1"/>
  <c r="AM47" i="23" s="1"/>
  <c r="AF54" i="23"/>
  <c r="AE54" i="23"/>
  <c r="AL54" i="23" s="1"/>
  <c r="AM54" i="23" s="1"/>
  <c r="AG56" i="23"/>
  <c r="AH56" i="23" s="1"/>
  <c r="AE56" i="23"/>
  <c r="AL56" i="23" s="1"/>
  <c r="AM56" i="23" s="1"/>
  <c r="AG52" i="23"/>
  <c r="AH52" i="23" s="1"/>
  <c r="AE52" i="23"/>
  <c r="AL52" i="23" s="1"/>
  <c r="AM52" i="23" s="1"/>
  <c r="HK72" i="22"/>
  <c r="HM72" i="22" s="1"/>
  <c r="HM60" i="22"/>
  <c r="HR60" i="22"/>
  <c r="HN60" i="22"/>
  <c r="HK54" i="22"/>
  <c r="HP54" i="22" s="1"/>
  <c r="HK31" i="22"/>
  <c r="HM31" i="22" s="1"/>
  <c r="HL73" i="22"/>
  <c r="HP62" i="22"/>
  <c r="HL60" i="22"/>
  <c r="HP60" i="22"/>
  <c r="HQ60" i="22"/>
  <c r="HQ69" i="22"/>
  <c r="HL61" i="22"/>
  <c r="HL69" i="22"/>
  <c r="HM69" i="22"/>
  <c r="HR69" i="22"/>
  <c r="HO69" i="22"/>
  <c r="HP69" i="22"/>
  <c r="HN73" i="22"/>
  <c r="HP73" i="22"/>
  <c r="HQ73" i="22"/>
  <c r="HO73" i="22"/>
  <c r="HR73" i="22"/>
  <c r="HP36" i="22"/>
  <c r="HL36" i="22"/>
  <c r="HN67" i="22"/>
  <c r="HQ67" i="22"/>
  <c r="HL67" i="22"/>
  <c r="HR67" i="22"/>
  <c r="HO36" i="22"/>
  <c r="HM36" i="22"/>
  <c r="HN36" i="22"/>
  <c r="HQ36" i="22"/>
  <c r="HR36" i="22"/>
  <c r="HO67" i="22"/>
  <c r="HP67" i="22"/>
  <c r="HK42" i="22"/>
  <c r="HR42" i="22" s="1"/>
  <c r="HO62" i="22"/>
  <c r="HO59" i="22"/>
  <c r="HR61" i="22"/>
  <c r="HO61" i="22"/>
  <c r="HQ61" i="22"/>
  <c r="HP61" i="22"/>
  <c r="HN61" i="22"/>
  <c r="HR58" i="22"/>
  <c r="HK64" i="22"/>
  <c r="HM62" i="22"/>
  <c r="HQ62" i="22"/>
  <c r="HN58" i="22"/>
  <c r="HR59" i="22"/>
  <c r="HL59" i="22"/>
  <c r="HP59" i="22"/>
  <c r="HN59" i="22"/>
  <c r="HQ59" i="22"/>
  <c r="HL58" i="22"/>
  <c r="HO58" i="22" s="1"/>
  <c r="HM57" i="22"/>
  <c r="HL57" i="22"/>
  <c r="HO57" i="22" s="1"/>
  <c r="HQ57" i="22"/>
  <c r="HR62" i="22"/>
  <c r="HM58" i="22"/>
  <c r="HQ58" i="22"/>
  <c r="HL62" i="22"/>
  <c r="CK27" i="22"/>
  <c r="HM66" i="22"/>
  <c r="HP57" i="22"/>
  <c r="HR66" i="22"/>
  <c r="HK48" i="22"/>
  <c r="CL48" i="22" s="1"/>
  <c r="HM37" i="22"/>
  <c r="HQ66" i="22"/>
  <c r="HP66" i="22"/>
  <c r="HO66" i="22"/>
  <c r="HN57" i="22"/>
  <c r="HN32" i="22"/>
  <c r="HN66" i="22"/>
  <c r="HK38" i="22"/>
  <c r="CL43" i="22"/>
  <c r="HL32" i="22"/>
  <c r="HM32" i="22"/>
  <c r="CL32" i="22"/>
  <c r="HQ32" i="22"/>
  <c r="HP32" i="22"/>
  <c r="HN34" i="22"/>
  <c r="HO34" i="22" s="1"/>
  <c r="HL34" i="22"/>
  <c r="CL34" i="22"/>
  <c r="HR34" i="22"/>
  <c r="HQ34" i="22"/>
  <c r="HP34" i="22"/>
  <c r="HP49" i="22"/>
  <c r="CL49" i="22"/>
  <c r="HR49" i="22"/>
  <c r="HM49" i="22"/>
  <c r="HO49" i="22"/>
  <c r="HQ49" i="22"/>
  <c r="HN49" i="22"/>
  <c r="HL49" i="22"/>
  <c r="HO43" i="22"/>
  <c r="CL33" i="22"/>
  <c r="HR43" i="22"/>
  <c r="HM43" i="22"/>
  <c r="HL70" i="22"/>
  <c r="HP43" i="22"/>
  <c r="HP37" i="22"/>
  <c r="HL43" i="22"/>
  <c r="HN43" i="22"/>
  <c r="HR70" i="22"/>
  <c r="HL37" i="22"/>
  <c r="HQ70" i="22"/>
  <c r="HO37" i="22"/>
  <c r="HP70" i="22"/>
  <c r="HQ37" i="22"/>
  <c r="HR37" i="22"/>
  <c r="HM70" i="22"/>
  <c r="HQ39" i="22"/>
  <c r="HN37" i="22"/>
  <c r="HO68" i="22"/>
  <c r="HO70" i="22"/>
  <c r="HN68" i="22"/>
  <c r="HM68" i="22"/>
  <c r="HP68" i="22"/>
  <c r="HQ68" i="22"/>
  <c r="HR68" i="22"/>
  <c r="HS45" i="22"/>
  <c r="HV45" i="22" s="1"/>
  <c r="HR39" i="22"/>
  <c r="HO39" i="22"/>
  <c r="HP39" i="22"/>
  <c r="HN44" i="22"/>
  <c r="HN39" i="22"/>
  <c r="HM39" i="22"/>
  <c r="CL39" i="22"/>
  <c r="HR44" i="22"/>
  <c r="HO44" i="22"/>
  <c r="CL44" i="22"/>
  <c r="HP44" i="22"/>
  <c r="HL44" i="22"/>
  <c r="HM44" i="22"/>
  <c r="HN33" i="22"/>
  <c r="HL33" i="22"/>
  <c r="HK40" i="22"/>
  <c r="HM40" i="22" s="1"/>
  <c r="HP47" i="22"/>
  <c r="HQ47" i="22"/>
  <c r="HR47" i="22"/>
  <c r="HM47" i="22"/>
  <c r="CL47" i="22"/>
  <c r="HL47" i="22"/>
  <c r="HO47" i="22"/>
  <c r="HN47" i="22"/>
  <c r="HQ33" i="22"/>
  <c r="HR33" i="22"/>
  <c r="HO33" i="22"/>
  <c r="HM33" i="22"/>
  <c r="HM71" i="22"/>
  <c r="HO71" i="22"/>
  <c r="HN71" i="22"/>
  <c r="HQ71" i="22"/>
  <c r="HP71" i="22"/>
  <c r="HR71" i="22"/>
  <c r="HL71" i="22"/>
  <c r="AG54" i="23"/>
  <c r="AH54" i="23" s="1"/>
  <c r="AF52" i="23"/>
  <c r="AF56" i="23"/>
  <c r="BN99" i="23"/>
  <c r="BN96" i="23" s="1"/>
  <c r="BH100" i="23" s="1"/>
  <c r="BM99" i="23"/>
  <c r="BM96" i="23" s="1"/>
  <c r="BJ99" i="23"/>
  <c r="BJ96" i="23" s="1"/>
  <c r="AP49" i="23"/>
  <c r="AW57" i="23" s="1"/>
  <c r="AP57" i="23" s="1"/>
  <c r="BI99" i="23"/>
  <c r="BI96" i="23" s="1"/>
  <c r="BH95" i="23" s="1"/>
  <c r="BK99" i="23"/>
  <c r="BK96" i="23" s="1"/>
  <c r="BG97" i="23" s="1"/>
  <c r="BD97" i="23" s="1"/>
  <c r="Z49" i="23"/>
  <c r="AA49" i="23"/>
  <c r="BL99" i="23"/>
  <c r="BL96" i="23" s="1"/>
  <c r="BG98" i="23" s="1"/>
  <c r="BD98" i="23" s="1"/>
  <c r="Y49" i="23"/>
  <c r="HS41" i="22"/>
  <c r="BI46" i="23"/>
  <c r="AG47" i="23"/>
  <c r="AH47" i="23" s="1"/>
  <c r="AZ48" i="23"/>
  <c r="AV54" i="23" l="1"/>
  <c r="AV52" i="23"/>
  <c r="AV31" i="23"/>
  <c r="AV47" i="23"/>
  <c r="AV56" i="23"/>
  <c r="AV32" i="23"/>
  <c r="AA26" i="23"/>
  <c r="AF26" i="23"/>
  <c r="AG26" i="23"/>
  <c r="AH26" i="23" s="1"/>
  <c r="AV26" i="23" s="1"/>
  <c r="AZ28" i="23"/>
  <c r="AY28" i="23" s="1"/>
  <c r="BJ82" i="23"/>
  <c r="BK81" i="23"/>
  <c r="BK80" i="23" s="1"/>
  <c r="BH81" i="23" s="1"/>
  <c r="Z27" i="23"/>
  <c r="Y27" i="23"/>
  <c r="BI82" i="23"/>
  <c r="AZ27" i="23"/>
  <c r="AY27" i="23" s="1"/>
  <c r="BM82" i="23"/>
  <c r="BL82" i="23"/>
  <c r="AP27" i="23"/>
  <c r="AA27" i="23"/>
  <c r="BM81" i="23"/>
  <c r="BI81" i="23"/>
  <c r="BJ81" i="23"/>
  <c r="BN81" i="23"/>
  <c r="AP26" i="23"/>
  <c r="Z26" i="23"/>
  <c r="Y26" i="23"/>
  <c r="BL81" i="23"/>
  <c r="BN82" i="23"/>
  <c r="HN30" i="22"/>
  <c r="HS46" i="22"/>
  <c r="CM46" i="22" s="1"/>
  <c r="HS56" i="22"/>
  <c r="HZ56" i="22" s="1"/>
  <c r="HM63" i="22"/>
  <c r="HL55" i="22"/>
  <c r="HR55" i="22"/>
  <c r="HP55" i="22"/>
  <c r="HQ55" i="22"/>
  <c r="HS65" i="22"/>
  <c r="HM55" i="22"/>
  <c r="HL30" i="22"/>
  <c r="HR30" i="22"/>
  <c r="HM30" i="22"/>
  <c r="CL30" i="22"/>
  <c r="HO30" i="22"/>
  <c r="HQ30" i="22"/>
  <c r="HQ63" i="22"/>
  <c r="HP63" i="22"/>
  <c r="HN63" i="22"/>
  <c r="HL63" i="22"/>
  <c r="HR63" i="22"/>
  <c r="HL31" i="22"/>
  <c r="HO31" i="22" s="1"/>
  <c r="HM54" i="22"/>
  <c r="HN31" i="22"/>
  <c r="BI25" i="23"/>
  <c r="T16" i="23" s="1"/>
  <c r="HR31" i="22"/>
  <c r="HQ31" i="22"/>
  <c r="CL31" i="22"/>
  <c r="HS35" i="22"/>
  <c r="CM35" i="22" s="1"/>
  <c r="HP72" i="22"/>
  <c r="HP31" i="22"/>
  <c r="HL72" i="22"/>
  <c r="HO72" i="22"/>
  <c r="HQ72" i="22"/>
  <c r="HN72" i="22"/>
  <c r="HR72" i="22"/>
  <c r="HR54" i="22"/>
  <c r="HN54" i="22"/>
  <c r="HO54" i="22" s="1"/>
  <c r="HS60" i="22"/>
  <c r="HZ60" i="22" s="1"/>
  <c r="HQ54" i="22"/>
  <c r="HL54" i="22"/>
  <c r="HS69" i="22"/>
  <c r="HZ69" i="22" s="1"/>
  <c r="HS73" i="22"/>
  <c r="HT73" i="22" s="1"/>
  <c r="HS67" i="22"/>
  <c r="HY67" i="22" s="1"/>
  <c r="HS36" i="22"/>
  <c r="HW36" i="22" s="1"/>
  <c r="HO42" i="22"/>
  <c r="HM42" i="22"/>
  <c r="HP42" i="22"/>
  <c r="HQ42" i="22"/>
  <c r="HL42" i="22"/>
  <c r="HS62" i="22"/>
  <c r="HT62" i="22" s="1"/>
  <c r="CL42" i="22"/>
  <c r="HN42" i="22"/>
  <c r="HO32" i="22"/>
  <c r="AB28" i="23"/>
  <c r="AB27" i="23"/>
  <c r="HN48" i="22"/>
  <c r="HS58" i="22"/>
  <c r="HY58" i="22" s="1"/>
  <c r="HS61" i="22"/>
  <c r="HV61" i="22" s="1"/>
  <c r="HS59" i="22"/>
  <c r="HZ59" i="22" s="1"/>
  <c r="HM48" i="22"/>
  <c r="HL48" i="22"/>
  <c r="HP48" i="22"/>
  <c r="HR48" i="22"/>
  <c r="HU56" i="22"/>
  <c r="HX56" i="22"/>
  <c r="HT56" i="22"/>
  <c r="HP64" i="22"/>
  <c r="HQ64" i="22"/>
  <c r="HM64" i="22"/>
  <c r="HL64" i="22"/>
  <c r="HN64" i="22"/>
  <c r="HR64" i="22"/>
  <c r="HO64" i="22"/>
  <c r="HS57" i="22"/>
  <c r="HT57" i="22" s="1"/>
  <c r="HO48" i="22"/>
  <c r="HS66" i="22"/>
  <c r="HV66" i="22" s="1"/>
  <c r="HQ48" i="22"/>
  <c r="HS32" i="22"/>
  <c r="HT32" i="22" s="1"/>
  <c r="HR38" i="22"/>
  <c r="CL38" i="22"/>
  <c r="HO38" i="22"/>
  <c r="HN38" i="22"/>
  <c r="HP38" i="22"/>
  <c r="HQ38" i="22"/>
  <c r="HL38" i="22"/>
  <c r="HM38" i="22"/>
  <c r="HS34" i="22"/>
  <c r="HT34" i="22" s="1"/>
  <c r="HY46" i="22"/>
  <c r="HS49" i="22"/>
  <c r="HS43" i="22"/>
  <c r="HV43" i="22" s="1"/>
  <c r="HO55" i="22"/>
  <c r="HN40" i="22"/>
  <c r="HS70" i="22"/>
  <c r="HV70" i="22" s="1"/>
  <c r="HS37" i="22"/>
  <c r="HZ37" i="22" s="1"/>
  <c r="HS44" i="22"/>
  <c r="HY44" i="22" s="1"/>
  <c r="HP40" i="22"/>
  <c r="HR40" i="22"/>
  <c r="HT45" i="22"/>
  <c r="HZ45" i="22"/>
  <c r="HU45" i="22"/>
  <c r="HS33" i="22"/>
  <c r="HT33" i="22" s="1"/>
  <c r="HS39" i="22"/>
  <c r="HU39" i="22" s="1"/>
  <c r="HW45" i="22"/>
  <c r="CM45" i="22"/>
  <c r="HY45" i="22"/>
  <c r="HX45" i="22"/>
  <c r="HS68" i="22"/>
  <c r="HQ40" i="22"/>
  <c r="CL40" i="22"/>
  <c r="HL40" i="22"/>
  <c r="HO40" i="22"/>
  <c r="HS47" i="22"/>
  <c r="HS71" i="22"/>
  <c r="BH96" i="23"/>
  <c r="BG96" i="23"/>
  <c r="BD96" i="23" s="1"/>
  <c r="BG99" i="23"/>
  <c r="BD99" i="23" s="1"/>
  <c r="BH99" i="23"/>
  <c r="BG100" i="23"/>
  <c r="BD100" i="23" s="1"/>
  <c r="HV41" i="22"/>
  <c r="HT41" i="22"/>
  <c r="HX41" i="22"/>
  <c r="HU41" i="22"/>
  <c r="HW41" i="22"/>
  <c r="HZ41" i="22"/>
  <c r="CM41" i="22"/>
  <c r="HY41" i="22"/>
  <c r="BH97" i="23"/>
  <c r="BH98" i="23"/>
  <c r="BG95" i="23"/>
  <c r="BD95" i="23" s="1"/>
  <c r="AY48" i="23"/>
  <c r="AB48" i="23"/>
  <c r="HU46" i="22" l="1"/>
  <c r="HZ46" i="22"/>
  <c r="HW46" i="22"/>
  <c r="HX46" i="22"/>
  <c r="BI80" i="23"/>
  <c r="BG79" i="23" s="1"/>
  <c r="BD79" i="23" s="1"/>
  <c r="BL80" i="23"/>
  <c r="BG82" i="23" s="1"/>
  <c r="BD82" i="23" s="1"/>
  <c r="HS30" i="22"/>
  <c r="HY30" i="22" s="1"/>
  <c r="BJ80" i="23"/>
  <c r="BG80" i="23" s="1"/>
  <c r="BD80" i="23" s="1"/>
  <c r="AW36" i="23"/>
  <c r="AP36" i="23" s="1"/>
  <c r="BM80" i="23"/>
  <c r="BG83" i="23" s="1"/>
  <c r="BD83" i="23" s="1"/>
  <c r="BN80" i="23"/>
  <c r="BH84" i="23" s="1"/>
  <c r="BH69" i="23" s="1"/>
  <c r="HS55" i="22"/>
  <c r="HU55" i="22" s="1"/>
  <c r="HV56" i="22"/>
  <c r="HW56" i="22" s="1"/>
  <c r="HV46" i="22"/>
  <c r="HT46" i="22"/>
  <c r="HY56" i="22"/>
  <c r="IA56" i="22" s="1"/>
  <c r="BG81" i="23"/>
  <c r="BD81" i="23" s="1"/>
  <c r="HW65" i="22"/>
  <c r="HX65" i="22"/>
  <c r="HZ65" i="22"/>
  <c r="HY65" i="22"/>
  <c r="HV65" i="22"/>
  <c r="HU65" i="22"/>
  <c r="HT65" i="22"/>
  <c r="HS63" i="22"/>
  <c r="HZ63" i="22" s="1"/>
  <c r="HS31" i="22"/>
  <c r="HY31" i="22" s="1"/>
  <c r="HT35" i="22"/>
  <c r="HW35" i="22"/>
  <c r="HU35" i="22"/>
  <c r="HV35" i="22"/>
  <c r="HT60" i="22"/>
  <c r="HY35" i="22"/>
  <c r="HZ35" i="22"/>
  <c r="HX35" i="22"/>
  <c r="HS72" i="22"/>
  <c r="HY72" i="22" s="1"/>
  <c r="HU60" i="22"/>
  <c r="HV60" i="22"/>
  <c r="HU73" i="22"/>
  <c r="HY60" i="22"/>
  <c r="HS54" i="22"/>
  <c r="HX54" i="22" s="1"/>
  <c r="HV73" i="22"/>
  <c r="HX60" i="22"/>
  <c r="HW60" i="22"/>
  <c r="HW73" i="22"/>
  <c r="HV69" i="22"/>
  <c r="HX69" i="22"/>
  <c r="HU69" i="22"/>
  <c r="HT69" i="22"/>
  <c r="HW69" i="22"/>
  <c r="HY69" i="22"/>
  <c r="HY73" i="22"/>
  <c r="HZ62" i="22"/>
  <c r="HX73" i="22"/>
  <c r="HZ73" i="22"/>
  <c r="AC48" i="23"/>
  <c r="AD48" i="23" s="1"/>
  <c r="AE48" i="23" s="1"/>
  <c r="AL48" i="23" s="1"/>
  <c r="AC27" i="23"/>
  <c r="AD27" i="23" s="1"/>
  <c r="AE27" i="23" s="1"/>
  <c r="AL27" i="23" s="1"/>
  <c r="AC28" i="23"/>
  <c r="AD28" i="23" s="1"/>
  <c r="AE28" i="23" s="1"/>
  <c r="AL28" i="23" s="1"/>
  <c r="HV67" i="22"/>
  <c r="HU67" i="22"/>
  <c r="HT36" i="22"/>
  <c r="HX67" i="22"/>
  <c r="HZ67" i="22"/>
  <c r="HT67" i="22"/>
  <c r="HY62" i="22"/>
  <c r="HW62" i="22"/>
  <c r="HX62" i="22"/>
  <c r="HV62" i="22"/>
  <c r="HW67" i="22"/>
  <c r="HZ36" i="22"/>
  <c r="HV36" i="22"/>
  <c r="CM36" i="22"/>
  <c r="HX36" i="22"/>
  <c r="HU36" i="22"/>
  <c r="HU61" i="22"/>
  <c r="HY36" i="22"/>
  <c r="HS42" i="22"/>
  <c r="CM42" i="22" s="1"/>
  <c r="BH66" i="23"/>
  <c r="HU62" i="22"/>
  <c r="HX58" i="22"/>
  <c r="HV58" i="22"/>
  <c r="HZ58" i="22"/>
  <c r="HU58" i="22"/>
  <c r="HT58" i="22"/>
  <c r="HW58" i="22" s="1"/>
  <c r="HU59" i="22"/>
  <c r="HY57" i="22"/>
  <c r="HX57" i="22"/>
  <c r="HU57" i="22"/>
  <c r="HW57" i="22" s="1"/>
  <c r="HV57" i="22"/>
  <c r="HW59" i="22"/>
  <c r="HT59" i="22"/>
  <c r="HY59" i="22"/>
  <c r="HX59" i="22"/>
  <c r="HS48" i="22"/>
  <c r="CM48" i="22" s="1"/>
  <c r="HV59" i="22"/>
  <c r="HW61" i="22"/>
  <c r="HT61" i="22"/>
  <c r="HZ57" i="22"/>
  <c r="HY61" i="22"/>
  <c r="HZ61" i="22"/>
  <c r="HX61" i="22"/>
  <c r="HU30" i="22"/>
  <c r="HS64" i="22"/>
  <c r="HZ66" i="22"/>
  <c r="HW66" i="22"/>
  <c r="HX66" i="22"/>
  <c r="HT66" i="22"/>
  <c r="HY66" i="22"/>
  <c r="HU66" i="22"/>
  <c r="CM32" i="22"/>
  <c r="HV34" i="22"/>
  <c r="CM33" i="22"/>
  <c r="CL27" i="22"/>
  <c r="HU32" i="22"/>
  <c r="HW32" i="22" s="1"/>
  <c r="HY32" i="22"/>
  <c r="HV32" i="22"/>
  <c r="HZ32" i="22"/>
  <c r="HX32" i="22"/>
  <c r="HY34" i="22"/>
  <c r="HS38" i="22"/>
  <c r="HX38" i="22" s="1"/>
  <c r="HT37" i="22"/>
  <c r="HU34" i="22"/>
  <c r="HW34" i="22" s="1"/>
  <c r="HZ34" i="22"/>
  <c r="IA46" i="22"/>
  <c r="IE46" i="22" s="1"/>
  <c r="CM34" i="22"/>
  <c r="HX34" i="22"/>
  <c r="CM44" i="22"/>
  <c r="HX43" i="22"/>
  <c r="HY43" i="22"/>
  <c r="CM43" i="22"/>
  <c r="HT70" i="22"/>
  <c r="HU43" i="22"/>
  <c r="HT43" i="22"/>
  <c r="HZ43" i="22"/>
  <c r="HZ49" i="22"/>
  <c r="HY49" i="22"/>
  <c r="HX49" i="22"/>
  <c r="HV49" i="22"/>
  <c r="HU49" i="22"/>
  <c r="CM49" i="22"/>
  <c r="HW49" i="22"/>
  <c r="HT49" i="22"/>
  <c r="HX33" i="22"/>
  <c r="HW70" i="22"/>
  <c r="HW43" i="22"/>
  <c r="HZ44" i="22"/>
  <c r="HU44" i="22"/>
  <c r="HT44" i="22"/>
  <c r="HV44" i="22"/>
  <c r="HW44" i="22"/>
  <c r="HU33" i="22"/>
  <c r="HY70" i="22"/>
  <c r="HU70" i="22"/>
  <c r="HX70" i="22"/>
  <c r="HY33" i="22"/>
  <c r="HZ33" i="22"/>
  <c r="HZ70" i="22"/>
  <c r="HX44" i="22"/>
  <c r="CM37" i="22"/>
  <c r="HV37" i="22"/>
  <c r="HX37" i="22"/>
  <c r="HW37" i="22"/>
  <c r="HU37" i="22"/>
  <c r="HY37" i="22"/>
  <c r="HS40" i="22"/>
  <c r="HW40" i="22" s="1"/>
  <c r="HY39" i="22"/>
  <c r="IA45" i="22"/>
  <c r="IG45" i="22" s="1"/>
  <c r="HT39" i="22"/>
  <c r="HW39" i="22"/>
  <c r="HV39" i="22"/>
  <c r="HZ39" i="22"/>
  <c r="HX39" i="22"/>
  <c r="CM39" i="22"/>
  <c r="HV33" i="22"/>
  <c r="HW33" i="22" s="1"/>
  <c r="HV68" i="22"/>
  <c r="HX68" i="22"/>
  <c r="HY68" i="22"/>
  <c r="HW68" i="22"/>
  <c r="HT68" i="22"/>
  <c r="HU68" i="22"/>
  <c r="HZ68" i="22"/>
  <c r="HZ47" i="22"/>
  <c r="HY47" i="22"/>
  <c r="HV47" i="22"/>
  <c r="HT47" i="22"/>
  <c r="CM47" i="22"/>
  <c r="HW47" i="22"/>
  <c r="HU47" i="22"/>
  <c r="HX47" i="22"/>
  <c r="HZ55" i="22"/>
  <c r="HV55" i="22"/>
  <c r="HT55" i="22"/>
  <c r="HW55" i="22" s="1"/>
  <c r="HX55" i="22"/>
  <c r="HY55" i="22"/>
  <c r="HX71" i="22"/>
  <c r="HU71" i="22"/>
  <c r="HW71" i="22"/>
  <c r="HT71" i="22"/>
  <c r="HZ71" i="22"/>
  <c r="HY71" i="22"/>
  <c r="HV71" i="22"/>
  <c r="AB49" i="23"/>
  <c r="BB95" i="23"/>
  <c r="IA41" i="22"/>
  <c r="IE41" i="22" s="1"/>
  <c r="BC95" i="23"/>
  <c r="BH80" i="23" l="1"/>
  <c r="BH65" i="23" s="1"/>
  <c r="HX30" i="22"/>
  <c r="HV30" i="22"/>
  <c r="HT30" i="22"/>
  <c r="HW30" i="22" s="1"/>
  <c r="BH82" i="23"/>
  <c r="BH67" i="23" s="1"/>
  <c r="BH79" i="23"/>
  <c r="BH64" i="23" s="1"/>
  <c r="HZ30" i="22"/>
  <c r="CM30" i="22"/>
  <c r="BG84" i="23"/>
  <c r="BD84" i="23" s="1"/>
  <c r="BB79" i="23" s="1"/>
  <c r="BH83" i="23"/>
  <c r="BH68" i="23" s="1"/>
  <c r="CM31" i="22"/>
  <c r="IA65" i="22"/>
  <c r="HW63" i="22"/>
  <c r="HV63" i="22"/>
  <c r="HY63" i="22"/>
  <c r="HU63" i="22"/>
  <c r="HX63" i="22"/>
  <c r="HT63" i="22"/>
  <c r="HV31" i="22"/>
  <c r="HZ31" i="22"/>
  <c r="HX31" i="22"/>
  <c r="HU31" i="22"/>
  <c r="HT31" i="22"/>
  <c r="HV72" i="22"/>
  <c r="HZ72" i="22"/>
  <c r="IA35" i="22"/>
  <c r="IC35" i="22" s="1"/>
  <c r="HT54" i="22"/>
  <c r="HW54" i="22" s="1"/>
  <c r="HT72" i="22"/>
  <c r="HX72" i="22"/>
  <c r="HW72" i="22"/>
  <c r="HU72" i="22"/>
  <c r="IA60" i="22"/>
  <c r="IC60" i="22" s="1"/>
  <c r="HY54" i="22"/>
  <c r="HZ54" i="22"/>
  <c r="HU54" i="22"/>
  <c r="HV54" i="22"/>
  <c r="IA69" i="22"/>
  <c r="IG69" i="22" s="1"/>
  <c r="IA67" i="22"/>
  <c r="IF67" i="22" s="1"/>
  <c r="HV48" i="22"/>
  <c r="IA73" i="22"/>
  <c r="ID73" i="22" s="1"/>
  <c r="IA62" i="22"/>
  <c r="IH62" i="22" s="1"/>
  <c r="IA36" i="22"/>
  <c r="IH36" i="22" s="1"/>
  <c r="AZ49" i="23"/>
  <c r="AY49" i="23" s="1"/>
  <c r="AM48" i="23"/>
  <c r="AC49" i="23"/>
  <c r="AD49" i="23" s="1"/>
  <c r="AE49" i="23" s="1"/>
  <c r="AL49" i="23" s="1"/>
  <c r="AF48" i="23"/>
  <c r="AG48" i="23"/>
  <c r="AH48" i="23" s="1"/>
  <c r="AG27" i="23"/>
  <c r="AH27" i="23" s="1"/>
  <c r="AM27" i="23"/>
  <c r="AF27" i="23"/>
  <c r="AM28" i="23"/>
  <c r="AG28" i="23"/>
  <c r="AH28" i="23" s="1"/>
  <c r="AV28" i="23" s="1"/>
  <c r="AF28" i="23"/>
  <c r="HX48" i="22"/>
  <c r="HU48" i="22"/>
  <c r="IA58" i="22"/>
  <c r="ID58" i="22" s="1"/>
  <c r="HW42" i="22"/>
  <c r="HU42" i="22"/>
  <c r="HT42" i="22"/>
  <c r="HV42" i="22"/>
  <c r="HZ42" i="22"/>
  <c r="HX42" i="22"/>
  <c r="HY42" i="22"/>
  <c r="IA59" i="22"/>
  <c r="IF59" i="22" s="1"/>
  <c r="IA57" i="22"/>
  <c r="IC57" i="22" s="1"/>
  <c r="HW48" i="22"/>
  <c r="HZ48" i="22"/>
  <c r="HT48" i="22"/>
  <c r="HY48" i="22"/>
  <c r="IH46" i="22"/>
  <c r="IA61" i="22"/>
  <c r="IC61" i="22" s="1"/>
  <c r="IA30" i="22"/>
  <c r="ID30" i="22" s="1"/>
  <c r="IB46" i="22"/>
  <c r="IC46" i="22"/>
  <c r="IF46" i="22"/>
  <c r="CN46" i="22"/>
  <c r="IC56" i="22"/>
  <c r="IB56" i="22"/>
  <c r="IH56" i="22"/>
  <c r="ID56" i="22"/>
  <c r="IF56" i="22"/>
  <c r="IG56" i="22"/>
  <c r="ID46" i="22"/>
  <c r="IG46" i="22"/>
  <c r="IA66" i="22"/>
  <c r="IH66" i="22" s="1"/>
  <c r="HW64" i="22"/>
  <c r="HT64" i="22"/>
  <c r="HZ64" i="22"/>
  <c r="HX64" i="22"/>
  <c r="HU64" i="22"/>
  <c r="HV64" i="22"/>
  <c r="HY64" i="22"/>
  <c r="HW38" i="22"/>
  <c r="HT38" i="22"/>
  <c r="HY38" i="22"/>
  <c r="HV38" i="22"/>
  <c r="CM38" i="22"/>
  <c r="HZ38" i="22"/>
  <c r="HU38" i="22"/>
  <c r="IA32" i="22"/>
  <c r="IA34" i="22"/>
  <c r="ID34" i="22" s="1"/>
  <c r="HW31" i="22"/>
  <c r="IA49" i="22"/>
  <c r="IB49" i="22" s="1"/>
  <c r="IA70" i="22"/>
  <c r="IG70" i="22" s="1"/>
  <c r="HZ40" i="22"/>
  <c r="IA43" i="22"/>
  <c r="IG43" i="22" s="1"/>
  <c r="IA33" i="22"/>
  <c r="CN33" i="22" s="1"/>
  <c r="IA44" i="22"/>
  <c r="ID44" i="22" s="1"/>
  <c r="HY40" i="22"/>
  <c r="IA37" i="22"/>
  <c r="IB37" i="22" s="1"/>
  <c r="IH45" i="22"/>
  <c r="IF45" i="22"/>
  <c r="ID45" i="22"/>
  <c r="IC45" i="22"/>
  <c r="HV40" i="22"/>
  <c r="HT40" i="22"/>
  <c r="CM40" i="22"/>
  <c r="HU40" i="22"/>
  <c r="HX40" i="22"/>
  <c r="IB45" i="22"/>
  <c r="IE45" i="22"/>
  <c r="IA39" i="22"/>
  <c r="IE39" i="22" s="1"/>
  <c r="CN45" i="22"/>
  <c r="IA68" i="22"/>
  <c r="IA55" i="22"/>
  <c r="IB55" i="22" s="1"/>
  <c r="IA47" i="22"/>
  <c r="ID41" i="22"/>
  <c r="IB41" i="22"/>
  <c r="IA71" i="22"/>
  <c r="CN41" i="22"/>
  <c r="IF41" i="22"/>
  <c r="IG41" i="22"/>
  <c r="IH41" i="22"/>
  <c r="IC41" i="22"/>
  <c r="BA95" i="23"/>
  <c r="AZ95" i="23" s="1"/>
  <c r="Y58" i="23" s="1"/>
  <c r="AV27" i="23" l="1"/>
  <c r="AV48" i="23"/>
  <c r="IA63" i="22"/>
  <c r="IC63" i="22" s="1"/>
  <c r="BC79" i="23"/>
  <c r="BA79" i="23" s="1"/>
  <c r="AZ79" i="23" s="1"/>
  <c r="V37" i="23" s="1"/>
  <c r="V36" i="23" s="1"/>
  <c r="IF65" i="22"/>
  <c r="IB65" i="22"/>
  <c r="ID65" i="22"/>
  <c r="IH65" i="22"/>
  <c r="IE65" i="22"/>
  <c r="IC65" i="22"/>
  <c r="IG65" i="22"/>
  <c r="IH35" i="22"/>
  <c r="IA54" i="22"/>
  <c r="IH54" i="22" s="1"/>
  <c r="IA31" i="22"/>
  <c r="ID31" i="22" s="1"/>
  <c r="IB35" i="22"/>
  <c r="CN35" i="22"/>
  <c r="IF35" i="22"/>
  <c r="IG35" i="22"/>
  <c r="ID35" i="22"/>
  <c r="IE35" i="22"/>
  <c r="IA72" i="22"/>
  <c r="IC72" i="22" s="1"/>
  <c r="IE60" i="22"/>
  <c r="IB60" i="22"/>
  <c r="ID60" i="22"/>
  <c r="IG60" i="22"/>
  <c r="IH60" i="22"/>
  <c r="IF60" i="22"/>
  <c r="IB67" i="22"/>
  <c r="IE69" i="22"/>
  <c r="IC69" i="22"/>
  <c r="IB69" i="22"/>
  <c r="IH69" i="22"/>
  <c r="ID69" i="22"/>
  <c r="IF69" i="22"/>
  <c r="ID67" i="22"/>
  <c r="IC73" i="22"/>
  <c r="IH67" i="22"/>
  <c r="IG67" i="22"/>
  <c r="IC62" i="22"/>
  <c r="IE62" i="22"/>
  <c r="IB62" i="22"/>
  <c r="IE73" i="22"/>
  <c r="ID62" i="22"/>
  <c r="IB73" i="22"/>
  <c r="IE67" i="22"/>
  <c r="IC67" i="22"/>
  <c r="IF61" i="22"/>
  <c r="IG73" i="22"/>
  <c r="IF73" i="22"/>
  <c r="IH73" i="22"/>
  <c r="IG58" i="22"/>
  <c r="IF62" i="22"/>
  <c r="IG62" i="22"/>
  <c r="IC36" i="22"/>
  <c r="ID36" i="22"/>
  <c r="CN36" i="22"/>
  <c r="IE36" i="22"/>
  <c r="IB63" i="22"/>
  <c r="IE59" i="22"/>
  <c r="IF36" i="22"/>
  <c r="IG36" i="22"/>
  <c r="IE63" i="22"/>
  <c r="IB36" i="22"/>
  <c r="IF63" i="22"/>
  <c r="AG49" i="23"/>
  <c r="AH49" i="23" s="1"/>
  <c r="AF49" i="23"/>
  <c r="AM49" i="23"/>
  <c r="IC58" i="22"/>
  <c r="IH58" i="22"/>
  <c r="IB58" i="22"/>
  <c r="IE58" i="22" s="1"/>
  <c r="ID57" i="22"/>
  <c r="IH57" i="22"/>
  <c r="IF58" i="22"/>
  <c r="IA42" i="22"/>
  <c r="IG42" i="22" s="1"/>
  <c r="IG61" i="22"/>
  <c r="ID61" i="22"/>
  <c r="IE61" i="22"/>
  <c r="IB57" i="22"/>
  <c r="IE57" i="22" s="1"/>
  <c r="IG57" i="22"/>
  <c r="IF57" i="22"/>
  <c r="IB59" i="22"/>
  <c r="IH59" i="22"/>
  <c r="IG59" i="22"/>
  <c r="IC59" i="22"/>
  <c r="ID59" i="22"/>
  <c r="II46" i="22"/>
  <c r="IK46" i="22" s="1"/>
  <c r="IC66" i="22"/>
  <c r="IE56" i="22"/>
  <c r="IA48" i="22"/>
  <c r="IH48" i="22" s="1"/>
  <c r="IH30" i="22"/>
  <c r="CN30" i="22"/>
  <c r="IH61" i="22"/>
  <c r="IB61" i="22"/>
  <c r="IB66" i="22"/>
  <c r="IB30" i="22"/>
  <c r="IF30" i="22"/>
  <c r="IE30" i="22"/>
  <c r="IC30" i="22"/>
  <c r="IG30" i="22"/>
  <c r="IE66" i="22"/>
  <c r="II56" i="22"/>
  <c r="IJ56" i="22" s="1"/>
  <c r="IG66" i="22"/>
  <c r="IF66" i="22"/>
  <c r="ID66" i="22"/>
  <c r="IF31" i="22"/>
  <c r="IA64" i="22"/>
  <c r="CM27" i="22"/>
  <c r="CN31" i="22"/>
  <c r="IA38" i="22"/>
  <c r="IE38" i="22" s="1"/>
  <c r="IF33" i="22"/>
  <c r="ID43" i="22"/>
  <c r="IH49" i="22"/>
  <c r="CN32" i="22"/>
  <c r="ID32" i="22"/>
  <c r="IC32" i="22"/>
  <c r="IH32" i="22"/>
  <c r="IB32" i="22"/>
  <c r="IE32" i="22" s="1"/>
  <c r="IF32" i="22"/>
  <c r="IG32" i="22"/>
  <c r="IH34" i="22"/>
  <c r="CN34" i="22"/>
  <c r="IG34" i="22"/>
  <c r="IE44" i="22"/>
  <c r="IE34" i="22"/>
  <c r="IB34" i="22"/>
  <c r="CN43" i="22"/>
  <c r="IC34" i="22"/>
  <c r="IF34" i="22"/>
  <c r="IG33" i="22"/>
  <c r="IB43" i="22"/>
  <c r="IF43" i="22"/>
  <c r="IC33" i="22"/>
  <c r="IE43" i="22"/>
  <c r="IB33" i="22"/>
  <c r="IH33" i="22"/>
  <c r="IE33" i="22"/>
  <c r="ID33" i="22"/>
  <c r="IC43" i="22"/>
  <c r="CN49" i="22"/>
  <c r="IH70" i="22"/>
  <c r="ID70" i="22"/>
  <c r="IF70" i="22"/>
  <c r="IB70" i="22"/>
  <c r="IH43" i="22"/>
  <c r="ID49" i="22"/>
  <c r="IC49" i="22"/>
  <c r="IE49" i="22"/>
  <c r="IG37" i="22"/>
  <c r="IF49" i="22"/>
  <c r="IG49" i="22"/>
  <c r="CN44" i="22"/>
  <c r="IF37" i="22"/>
  <c r="IA40" i="22"/>
  <c r="IC40" i="22" s="1"/>
  <c r="IE70" i="22"/>
  <c r="IC70" i="22"/>
  <c r="IH44" i="22"/>
  <c r="IB44" i="22"/>
  <c r="IG44" i="22"/>
  <c r="IC44" i="22"/>
  <c r="IF44" i="22"/>
  <c r="IH37" i="22"/>
  <c r="CN37" i="22"/>
  <c r="ID37" i="22"/>
  <c r="IC37" i="22"/>
  <c r="IE37" i="22"/>
  <c r="II45" i="22"/>
  <c r="CN39" i="22"/>
  <c r="ID39" i="22"/>
  <c r="IF39" i="22"/>
  <c r="IB54" i="22"/>
  <c r="ID55" i="22"/>
  <c r="IH39" i="22"/>
  <c r="IC39" i="22"/>
  <c r="IG39" i="22"/>
  <c r="IB39" i="22"/>
  <c r="IF55" i="22"/>
  <c r="IH68" i="22"/>
  <c r="ID68" i="22"/>
  <c r="IG68" i="22"/>
  <c r="IC68" i="22"/>
  <c r="IB68" i="22"/>
  <c r="IE68" i="22"/>
  <c r="IF68" i="22"/>
  <c r="IG55" i="22"/>
  <c r="IH55" i="22"/>
  <c r="IC55" i="22"/>
  <c r="IG47" i="22"/>
  <c r="IF47" i="22"/>
  <c r="IH47" i="22"/>
  <c r="IB47" i="22"/>
  <c r="CN47" i="22"/>
  <c r="IE47" i="22"/>
  <c r="ID47" i="22"/>
  <c r="IC47" i="22"/>
  <c r="IC71" i="22"/>
  <c r="ID71" i="22"/>
  <c r="IG71" i="22"/>
  <c r="IH71" i="22"/>
  <c r="IB71" i="22"/>
  <c r="IF71" i="22"/>
  <c r="IE71" i="22"/>
  <c r="II41" i="22"/>
  <c r="IL41" i="22" s="1"/>
  <c r="BC96" i="23"/>
  <c r="BA96" i="23" s="1"/>
  <c r="AZ96" i="23" s="1"/>
  <c r="V59" i="23" s="1"/>
  <c r="V58" i="23"/>
  <c r="V57" i="23" s="1"/>
  <c r="AY95" i="23"/>
  <c r="Z58" i="23" s="1"/>
  <c r="AV49" i="23" l="1"/>
  <c r="AV25" i="23" s="1"/>
  <c r="IH63" i="22"/>
  <c r="II63" i="22" s="1"/>
  <c r="IN63" i="22" s="1"/>
  <c r="IG63" i="22"/>
  <c r="ID63" i="22"/>
  <c r="AY79" i="23"/>
  <c r="Z37" i="23" s="1"/>
  <c r="Y37" i="23"/>
  <c r="BC80" i="23"/>
  <c r="BA80" i="23" s="1"/>
  <c r="AZ80" i="23" s="1"/>
  <c r="V38" i="23" s="1"/>
  <c r="II65" i="22"/>
  <c r="IG54" i="22"/>
  <c r="II35" i="22"/>
  <c r="IJ35" i="22" s="1"/>
  <c r="II60" i="22"/>
  <c r="IP60" i="22" s="1"/>
  <c r="IC31" i="22"/>
  <c r="IG31" i="22"/>
  <c r="IB31" i="22"/>
  <c r="IE31" i="22"/>
  <c r="IH31" i="22"/>
  <c r="ID72" i="22"/>
  <c r="ID54" i="22"/>
  <c r="IF54" i="22"/>
  <c r="IC54" i="22"/>
  <c r="IH72" i="22"/>
  <c r="IG72" i="22"/>
  <c r="IF72" i="22"/>
  <c r="IB72" i="22"/>
  <c r="IE72" i="22"/>
  <c r="II69" i="22"/>
  <c r="IL69" i="22" s="1"/>
  <c r="II67" i="22"/>
  <c r="IN67" i="22" s="1"/>
  <c r="II36" i="22"/>
  <c r="IJ36" i="22" s="1"/>
  <c r="IF48" i="22"/>
  <c r="CN48" i="22"/>
  <c r="ID48" i="22"/>
  <c r="II62" i="22"/>
  <c r="IJ62" i="22" s="1"/>
  <c r="IB48" i="22"/>
  <c r="IE48" i="22"/>
  <c r="II73" i="22"/>
  <c r="IK73" i="22" s="1"/>
  <c r="IG48" i="22"/>
  <c r="II57" i="22"/>
  <c r="IN57" i="22" s="1"/>
  <c r="IC48" i="22"/>
  <c r="II59" i="22"/>
  <c r="IM59" i="22" s="1"/>
  <c r="IB42" i="22"/>
  <c r="CN42" i="22"/>
  <c r="IH42" i="22"/>
  <c r="II58" i="22"/>
  <c r="IP58" i="22" s="1"/>
  <c r="II61" i="22"/>
  <c r="IN61" i="22" s="1"/>
  <c r="IJ46" i="22"/>
  <c r="IP46" i="22"/>
  <c r="IM46" i="22"/>
  <c r="IC42" i="22"/>
  <c r="ID42" i="22"/>
  <c r="IE42" i="22"/>
  <c r="IF42" i="22"/>
  <c r="CO46" i="22"/>
  <c r="IL46" i="22"/>
  <c r="IO46" i="22"/>
  <c r="IN46" i="22"/>
  <c r="II30" i="22"/>
  <c r="IP30" i="22" s="1"/>
  <c r="II66" i="22"/>
  <c r="IL66" i="22" s="1"/>
  <c r="IN56" i="22"/>
  <c r="IP56" i="22"/>
  <c r="IK56" i="22"/>
  <c r="IL56" i="22"/>
  <c r="IO56" i="22"/>
  <c r="IH64" i="22"/>
  <c r="IC64" i="22"/>
  <c r="IG64" i="22"/>
  <c r="IE64" i="22"/>
  <c r="IF64" i="22"/>
  <c r="ID64" i="22"/>
  <c r="IB64" i="22"/>
  <c r="IG38" i="22"/>
  <c r="IF38" i="22"/>
  <c r="IB38" i="22"/>
  <c r="CN38" i="22"/>
  <c r="II33" i="22"/>
  <c r="IJ33" i="22" s="1"/>
  <c r="IH38" i="22"/>
  <c r="ID38" i="22"/>
  <c r="IC38" i="22"/>
  <c r="II32" i="22"/>
  <c r="II34" i="22"/>
  <c r="IL34" i="22" s="1"/>
  <c r="II43" i="22"/>
  <c r="CO43" i="22" s="1"/>
  <c r="II70" i="22"/>
  <c r="IK70" i="22" s="1"/>
  <c r="IE55" i="22"/>
  <c r="IG40" i="22"/>
  <c r="IF40" i="22"/>
  <c r="II49" i="22"/>
  <c r="IJ49" i="22" s="1"/>
  <c r="II37" i="22"/>
  <c r="IL37" i="22" s="1"/>
  <c r="II44" i="22"/>
  <c r="IJ44" i="22" s="1"/>
  <c r="IE40" i="22"/>
  <c r="IH40" i="22"/>
  <c r="CN40" i="22"/>
  <c r="IB40" i="22"/>
  <c r="ID40" i="22"/>
  <c r="IE54" i="22"/>
  <c r="II39" i="22"/>
  <c r="IP39" i="22" s="1"/>
  <c r="CO45" i="22"/>
  <c r="IM45" i="22"/>
  <c r="IL45" i="22"/>
  <c r="IJ45" i="22"/>
  <c r="IK45" i="22"/>
  <c r="IP45" i="22"/>
  <c r="IO45" i="22"/>
  <c r="IN45" i="22"/>
  <c r="II68" i="22"/>
  <c r="IP68" i="22" s="1"/>
  <c r="II55" i="22"/>
  <c r="II47" i="22"/>
  <c r="CO41" i="22"/>
  <c r="IJ41" i="22"/>
  <c r="IP41" i="22"/>
  <c r="II71" i="22"/>
  <c r="IO41" i="22"/>
  <c r="IM41" i="22"/>
  <c r="IN41" i="22"/>
  <c r="IK41" i="22"/>
  <c r="AY96" i="23"/>
  <c r="Z59" i="23" s="1"/>
  <c r="Y59" i="23"/>
  <c r="BC97" i="23"/>
  <c r="BA97" i="23" s="1"/>
  <c r="AY97" i="23" s="1"/>
  <c r="IL35" i="22" l="1"/>
  <c r="AY80" i="23"/>
  <c r="Z38" i="23" s="1"/>
  <c r="Y38" i="23"/>
  <c r="BC81" i="23"/>
  <c r="BA81" i="23" s="1"/>
  <c r="AY81" i="23" s="1"/>
  <c r="IN60" i="22"/>
  <c r="IP35" i="22"/>
  <c r="IK60" i="22"/>
  <c r="CO35" i="22"/>
  <c r="IM60" i="22"/>
  <c r="IO60" i="22"/>
  <c r="IL60" i="22"/>
  <c r="IJ60" i="22"/>
  <c r="IM65" i="22"/>
  <c r="IN65" i="22"/>
  <c r="IJ65" i="22"/>
  <c r="IK65" i="22"/>
  <c r="IL65" i="22"/>
  <c r="IO65" i="22"/>
  <c r="IP65" i="22"/>
  <c r="II54" i="22"/>
  <c r="IO54" i="22" s="1"/>
  <c r="IN35" i="22"/>
  <c r="IO35" i="22"/>
  <c r="II31" i="22"/>
  <c r="IN31" i="22" s="1"/>
  <c r="IM35" i="22"/>
  <c r="IK35" i="22"/>
  <c r="II72" i="22"/>
  <c r="IK72" i="22" s="1"/>
  <c r="IN69" i="22"/>
  <c r="IO69" i="22"/>
  <c r="IM69" i="22"/>
  <c r="IJ69" i="22"/>
  <c r="IK69" i="22"/>
  <c r="IP69" i="22"/>
  <c r="IP62" i="22"/>
  <c r="IN62" i="22"/>
  <c r="IK62" i="22"/>
  <c r="IM62" i="22"/>
  <c r="IP59" i="22"/>
  <c r="IO62" i="22"/>
  <c r="IL62" i="22"/>
  <c r="IK57" i="22"/>
  <c r="IJ57" i="22"/>
  <c r="IM57" i="22" s="1"/>
  <c r="IJ67" i="22"/>
  <c r="IO67" i="22"/>
  <c r="IK67" i="22"/>
  <c r="IM36" i="22"/>
  <c r="IP67" i="22"/>
  <c r="IL67" i="22"/>
  <c r="IM67" i="22"/>
  <c r="IL36" i="22"/>
  <c r="IP36" i="22"/>
  <c r="IK36" i="22"/>
  <c r="CO36" i="22"/>
  <c r="IO73" i="22"/>
  <c r="IL57" i="22"/>
  <c r="IO36" i="22"/>
  <c r="IJ61" i="22"/>
  <c r="IN36" i="22"/>
  <c r="II48" i="22"/>
  <c r="IJ48" i="22" s="1"/>
  <c r="IP57" i="22"/>
  <c r="IN73" i="22"/>
  <c r="IP73" i="22"/>
  <c r="IL73" i="22"/>
  <c r="IJ73" i="22"/>
  <c r="IM73" i="22"/>
  <c r="IK58" i="22"/>
  <c r="IM58" i="22" s="1"/>
  <c r="IL58" i="22"/>
  <c r="IO58" i="22"/>
  <c r="IJ58" i="22"/>
  <c r="IO57" i="22"/>
  <c r="IJ63" i="22"/>
  <c r="IN58" i="22"/>
  <c r="IP61" i="22"/>
  <c r="IO61" i="22"/>
  <c r="IM61" i="22"/>
  <c r="IK61" i="22"/>
  <c r="IJ59" i="22"/>
  <c r="IK59" i="22"/>
  <c r="IO59" i="22"/>
  <c r="IN59" i="22"/>
  <c r="IL59" i="22"/>
  <c r="IQ46" i="22"/>
  <c r="CP46" i="22" s="1"/>
  <c r="IM63" i="22"/>
  <c r="IL63" i="22"/>
  <c r="IP63" i="22"/>
  <c r="IK63" i="22"/>
  <c r="IO63" i="22"/>
  <c r="IL61" i="22"/>
  <c r="II42" i="22"/>
  <c r="IO42" i="22" s="1"/>
  <c r="IO30" i="22"/>
  <c r="IJ31" i="22"/>
  <c r="IO31" i="22"/>
  <c r="IJ30" i="22"/>
  <c r="IM30" i="22" s="1"/>
  <c r="CO30" i="22"/>
  <c r="IK30" i="22"/>
  <c r="IL30" i="22"/>
  <c r="IN30" i="22"/>
  <c r="IM56" i="22"/>
  <c r="IJ66" i="22"/>
  <c r="IL43" i="22"/>
  <c r="IN43" i="22"/>
  <c r="IM66" i="22"/>
  <c r="IK66" i="22"/>
  <c r="IP66" i="22"/>
  <c r="IO66" i="22"/>
  <c r="IN66" i="22"/>
  <c r="IQ56" i="22"/>
  <c r="IK33" i="22"/>
  <c r="IL33" i="22"/>
  <c r="IM33" i="22" s="1"/>
  <c r="IP33" i="22"/>
  <c r="IP43" i="22"/>
  <c r="IM43" i="22"/>
  <c r="IK43" i="22"/>
  <c r="II64" i="22"/>
  <c r="IN64" i="22" s="1"/>
  <c r="IN33" i="22"/>
  <c r="CO33" i="22"/>
  <c r="IO33" i="22"/>
  <c r="IO70" i="22"/>
  <c r="IO34" i="22"/>
  <c r="IJ43" i="22"/>
  <c r="IN34" i="22"/>
  <c r="II38" i="22"/>
  <c r="IN38" i="22" s="1"/>
  <c r="IM34" i="22"/>
  <c r="IK34" i="22"/>
  <c r="IO43" i="22"/>
  <c r="IN70" i="22"/>
  <c r="IL70" i="22"/>
  <c r="IJ70" i="22"/>
  <c r="IM70" i="22"/>
  <c r="CN27" i="22"/>
  <c r="IP34" i="22"/>
  <c r="IP44" i="22"/>
  <c r="IO32" i="22"/>
  <c r="IK32" i="22"/>
  <c r="IN32" i="22"/>
  <c r="IP32" i="22"/>
  <c r="IJ32" i="22"/>
  <c r="IM32" i="22" s="1"/>
  <c r="IL32" i="22"/>
  <c r="CO32" i="22"/>
  <c r="IK44" i="22"/>
  <c r="IJ34" i="22"/>
  <c r="CO34" i="22"/>
  <c r="IP70" i="22"/>
  <c r="IM44" i="22"/>
  <c r="IO37" i="22"/>
  <c r="CO44" i="22"/>
  <c r="IJ37" i="22"/>
  <c r="IP37" i="22"/>
  <c r="IO44" i="22"/>
  <c r="IO39" i="22"/>
  <c r="IL44" i="22"/>
  <c r="IN44" i="22"/>
  <c r="IP49" i="22"/>
  <c r="IK37" i="22"/>
  <c r="II40" i="22"/>
  <c r="IP40" i="22" s="1"/>
  <c r="IO49" i="22"/>
  <c r="IN37" i="22"/>
  <c r="CO37" i="22"/>
  <c r="IM37" i="22"/>
  <c r="IN49" i="22"/>
  <c r="IM49" i="22"/>
  <c r="IK49" i="22"/>
  <c r="IL49" i="22"/>
  <c r="CO49" i="22"/>
  <c r="CO39" i="22"/>
  <c r="IK39" i="22"/>
  <c r="IN39" i="22"/>
  <c r="IM39" i="22"/>
  <c r="IL39" i="22"/>
  <c r="IJ39" i="22"/>
  <c r="IQ45" i="22"/>
  <c r="IO55" i="22"/>
  <c r="IJ55" i="22"/>
  <c r="IK55" i="22"/>
  <c r="IO68" i="22"/>
  <c r="IN68" i="22"/>
  <c r="IP55" i="22"/>
  <c r="IL55" i="22"/>
  <c r="IN55" i="22"/>
  <c r="IM68" i="22"/>
  <c r="IL68" i="22"/>
  <c r="IK68" i="22"/>
  <c r="IJ68" i="22"/>
  <c r="CO47" i="22"/>
  <c r="IO47" i="22"/>
  <c r="IJ47" i="22"/>
  <c r="IK47" i="22"/>
  <c r="IN47" i="22"/>
  <c r="IL47" i="22"/>
  <c r="IP47" i="22"/>
  <c r="IM47" i="22"/>
  <c r="IQ41" i="22"/>
  <c r="CP41" i="22" s="1"/>
  <c r="IP71" i="22"/>
  <c r="IO71" i="22"/>
  <c r="IK71" i="22"/>
  <c r="IL71" i="22"/>
  <c r="IM71" i="22"/>
  <c r="IN71" i="22"/>
  <c r="IJ71" i="22"/>
  <c r="BC98" i="23"/>
  <c r="BA98" i="23" s="1"/>
  <c r="BC99" i="23" s="1"/>
  <c r="BA99" i="23" s="1"/>
  <c r="AZ99" i="23" s="1"/>
  <c r="AL59" i="23" s="1"/>
  <c r="AZ97" i="23"/>
  <c r="V60" i="23" s="1"/>
  <c r="IQ60" i="22"/>
  <c r="BC82" i="23" l="1"/>
  <c r="BA82" i="23" s="1"/>
  <c r="AY82" i="23" s="1"/>
  <c r="AZ81" i="23"/>
  <c r="Y39" i="23" s="1"/>
  <c r="IK54" i="22"/>
  <c r="CO31" i="22"/>
  <c r="IM31" i="22"/>
  <c r="IN54" i="22"/>
  <c r="IQ65" i="22"/>
  <c r="IQ35" i="22"/>
  <c r="IS35" i="22" s="1"/>
  <c r="IP54" i="22"/>
  <c r="IP31" i="22"/>
  <c r="IQ31" i="22" s="1"/>
  <c r="IS31" i="22" s="1"/>
  <c r="IL31" i="22"/>
  <c r="IM54" i="22"/>
  <c r="IL54" i="22"/>
  <c r="IJ54" i="22"/>
  <c r="IK31" i="22"/>
  <c r="IJ72" i="22"/>
  <c r="IM72" i="22"/>
  <c r="IN72" i="22"/>
  <c r="IP72" i="22"/>
  <c r="IL72" i="22"/>
  <c r="IO72" i="22"/>
  <c r="IQ62" i="22"/>
  <c r="IR62" i="22" s="1"/>
  <c r="IQ69" i="22"/>
  <c r="IS69" i="22" s="1"/>
  <c r="IQ67" i="22"/>
  <c r="IR67" i="22" s="1"/>
  <c r="IQ73" i="22"/>
  <c r="IR73" i="22" s="1"/>
  <c r="CO48" i="22"/>
  <c r="IM48" i="22"/>
  <c r="IQ58" i="22"/>
  <c r="IR58" i="22" s="1"/>
  <c r="IU58" i="22" s="1"/>
  <c r="CY58" i="22" s="1"/>
  <c r="IQ36" i="22"/>
  <c r="IS36" i="22" s="1"/>
  <c r="IP48" i="22"/>
  <c r="IQ59" i="22"/>
  <c r="IU59" i="22" s="1"/>
  <c r="CY59" i="22" s="1"/>
  <c r="IQ57" i="22"/>
  <c r="IS57" i="22" s="1"/>
  <c r="IL48" i="22"/>
  <c r="IO48" i="22"/>
  <c r="IN48" i="22"/>
  <c r="IK48" i="22"/>
  <c r="IT46" i="22"/>
  <c r="IU46" i="22"/>
  <c r="CY46" i="22" s="1"/>
  <c r="IQ61" i="22"/>
  <c r="IU61" i="22" s="1"/>
  <c r="CY61" i="22" s="1"/>
  <c r="IQ63" i="22"/>
  <c r="IS63" i="22" s="1"/>
  <c r="IR46" i="22"/>
  <c r="IS46" i="22"/>
  <c r="IM42" i="22"/>
  <c r="IK42" i="22"/>
  <c r="IN42" i="22"/>
  <c r="IJ42" i="22"/>
  <c r="IP42" i="22"/>
  <c r="CO42" i="22"/>
  <c r="IL42" i="22"/>
  <c r="IQ30" i="22"/>
  <c r="IR30" i="22" s="1"/>
  <c r="IQ66" i="22"/>
  <c r="IS66" i="22" s="1"/>
  <c r="IQ43" i="22"/>
  <c r="IU43" i="22" s="1"/>
  <c r="CY43" i="22" s="1"/>
  <c r="IR56" i="22"/>
  <c r="IT56" i="22"/>
  <c r="IS56" i="22"/>
  <c r="IU56" i="22" s="1"/>
  <c r="CY56" i="22" s="1"/>
  <c r="IQ33" i="22"/>
  <c r="CP33" i="22" s="1"/>
  <c r="IK64" i="22"/>
  <c r="IM64" i="22"/>
  <c r="IO64" i="22"/>
  <c r="IJ64" i="22"/>
  <c r="IP64" i="22"/>
  <c r="IL64" i="22"/>
  <c r="IO38" i="22"/>
  <c r="IQ34" i="22"/>
  <c r="IR34" i="22" s="1"/>
  <c r="IL38" i="22"/>
  <c r="IK38" i="22"/>
  <c r="IJ38" i="22"/>
  <c r="CO38" i="22"/>
  <c r="IP38" i="22"/>
  <c r="IQ70" i="22"/>
  <c r="IU70" i="22" s="1"/>
  <c r="CY70" i="22" s="1"/>
  <c r="CW70" i="22" s="1"/>
  <c r="CX70" i="22" s="1"/>
  <c r="IM38" i="22"/>
  <c r="IQ39" i="22"/>
  <c r="IS39" i="22" s="1"/>
  <c r="IN40" i="22"/>
  <c r="IL40" i="22"/>
  <c r="IQ32" i="22"/>
  <c r="IQ37" i="22"/>
  <c r="IU37" i="22" s="1"/>
  <c r="CY37" i="22" s="1"/>
  <c r="IQ44" i="22"/>
  <c r="IT44" i="22" s="1"/>
  <c r="IM40" i="22"/>
  <c r="CO40" i="22"/>
  <c r="IO40" i="22"/>
  <c r="IQ49" i="22"/>
  <c r="IS49" i="22" s="1"/>
  <c r="IJ40" i="22"/>
  <c r="IK40" i="22"/>
  <c r="IM55" i="22"/>
  <c r="IQ55" i="22"/>
  <c r="IS55" i="22" s="1"/>
  <c r="IT45" i="22"/>
  <c r="IS45" i="22"/>
  <c r="CP45" i="22"/>
  <c r="IR45" i="22"/>
  <c r="IU45" i="22"/>
  <c r="CY45" i="22" s="1"/>
  <c r="IQ68" i="22"/>
  <c r="IR68" i="22" s="1"/>
  <c r="IQ47" i="22"/>
  <c r="IT41" i="22"/>
  <c r="IR41" i="22"/>
  <c r="IS41" i="22"/>
  <c r="IU41" i="22"/>
  <c r="CY41" i="22" s="1"/>
  <c r="IQ71" i="22"/>
  <c r="AM59" i="23"/>
  <c r="Z60" i="23"/>
  <c r="AZ98" i="23"/>
  <c r="AK58" i="23" s="1"/>
  <c r="Y60" i="23"/>
  <c r="AY99" i="23"/>
  <c r="AY98" i="23"/>
  <c r="AK59" i="23"/>
  <c r="BC100" i="23"/>
  <c r="BA100" i="23" s="1"/>
  <c r="AZ100" i="23" s="1"/>
  <c r="AL60" i="23" s="1"/>
  <c r="IR60" i="22"/>
  <c r="IS60" i="22"/>
  <c r="IU60" i="22"/>
  <c r="CY60" i="22" s="1"/>
  <c r="IT60" i="22"/>
  <c r="BV43" i="22"/>
  <c r="BM43" i="22" s="1"/>
  <c r="BV39" i="22"/>
  <c r="BM39" i="22" s="1"/>
  <c r="BV44" i="22"/>
  <c r="BM44" i="22" s="1"/>
  <c r="BV40" i="22"/>
  <c r="BM40" i="22" s="1"/>
  <c r="BV46" i="22"/>
  <c r="BM46" i="22" s="1"/>
  <c r="BV45" i="22"/>
  <c r="BM45" i="22" s="1"/>
  <c r="BV41" i="22"/>
  <c r="BM41" i="22" s="1"/>
  <c r="BV42" i="22"/>
  <c r="BM42" i="22" s="1"/>
  <c r="BC83" i="23" l="1"/>
  <c r="BA83" i="23" s="1"/>
  <c r="AZ83" i="23" s="1"/>
  <c r="AL38" i="23" s="1"/>
  <c r="Z39" i="23"/>
  <c r="V39" i="23"/>
  <c r="AZ82" i="23"/>
  <c r="AL37" i="23" s="1"/>
  <c r="IQ54" i="22"/>
  <c r="IT54" i="22" s="1"/>
  <c r="CP35" i="22"/>
  <c r="IR35" i="22"/>
  <c r="IU35" i="22"/>
  <c r="CY35" i="22" s="1"/>
  <c r="CV35" i="22" s="1"/>
  <c r="IR65" i="22"/>
  <c r="IS65" i="22"/>
  <c r="IU65" i="22"/>
  <c r="CY65" i="22" s="1"/>
  <c r="CV41" i="22" s="1"/>
  <c r="IT65" i="22"/>
  <c r="IT35" i="22"/>
  <c r="IQ72" i="22"/>
  <c r="IT62" i="22"/>
  <c r="IS62" i="22"/>
  <c r="IU69" i="22"/>
  <c r="CY69" i="22" s="1"/>
  <c r="CW69" i="22" s="1"/>
  <c r="CX69" i="22" s="1"/>
  <c r="IU62" i="22"/>
  <c r="CY62" i="22" s="1"/>
  <c r="IT69" i="22"/>
  <c r="IR69" i="22"/>
  <c r="IR36" i="22"/>
  <c r="IT57" i="22"/>
  <c r="IU57" i="22" s="1"/>
  <c r="CY57" i="22" s="1"/>
  <c r="IR57" i="22"/>
  <c r="IU73" i="22"/>
  <c r="CY73" i="22" s="1"/>
  <c r="CW73" i="22" s="1"/>
  <c r="CX73" i="22" s="1"/>
  <c r="IT73" i="22"/>
  <c r="IT31" i="22"/>
  <c r="IS73" i="22"/>
  <c r="IU36" i="22"/>
  <c r="CY36" i="22" s="1"/>
  <c r="CV36" i="22" s="1"/>
  <c r="IQ48" i="22"/>
  <c r="IU48" i="22" s="1"/>
  <c r="CY48" i="22" s="1"/>
  <c r="CW48" i="22" s="1"/>
  <c r="CX48" i="22" s="1"/>
  <c r="IU67" i="22"/>
  <c r="CY67" i="22" s="1"/>
  <c r="CW67" i="22" s="1"/>
  <c r="CX67" i="22" s="1"/>
  <c r="IS59" i="22"/>
  <c r="CP36" i="22"/>
  <c r="IT67" i="22"/>
  <c r="IS67" i="22"/>
  <c r="IT36" i="22"/>
  <c r="IS58" i="22"/>
  <c r="IT58" i="22"/>
  <c r="IR59" i="22"/>
  <c r="IT59" i="22"/>
  <c r="CV37" i="22"/>
  <c r="IR61" i="22"/>
  <c r="IT61" i="22"/>
  <c r="CP31" i="22"/>
  <c r="IS61" i="22"/>
  <c r="IR31" i="22"/>
  <c r="IU63" i="22"/>
  <c r="CY63" i="22" s="1"/>
  <c r="CW63" i="22" s="1"/>
  <c r="CX63" i="22" s="1"/>
  <c r="IR63" i="22"/>
  <c r="IT30" i="22"/>
  <c r="IT63" i="22"/>
  <c r="IT33" i="22"/>
  <c r="IQ42" i="22"/>
  <c r="IT42" i="22" s="1"/>
  <c r="IS33" i="22"/>
  <c r="CP30" i="22"/>
  <c r="IU30" i="22"/>
  <c r="CY30" i="22" s="1"/>
  <c r="IS30" i="22"/>
  <c r="IR33" i="22"/>
  <c r="IU66" i="22"/>
  <c r="CY66" i="22" s="1"/>
  <c r="IR66" i="22"/>
  <c r="IT66" i="22"/>
  <c r="IS43" i="22"/>
  <c r="IT43" i="22"/>
  <c r="CP43" i="22"/>
  <c r="IR43" i="22"/>
  <c r="IU33" i="22"/>
  <c r="CY33" i="22" s="1"/>
  <c r="IR70" i="22"/>
  <c r="IQ64" i="22"/>
  <c r="IT64" i="22" s="1"/>
  <c r="IT70" i="22"/>
  <c r="IR39" i="22"/>
  <c r="IQ38" i="22"/>
  <c r="IT38" i="22" s="1"/>
  <c r="IS34" i="22"/>
  <c r="IT39" i="22"/>
  <c r="IS70" i="22"/>
  <c r="IU34" i="22"/>
  <c r="CY34" i="22" s="1"/>
  <c r="CV34" i="22" s="1"/>
  <c r="IT34" i="22"/>
  <c r="CP39" i="22"/>
  <c r="CP34" i="22"/>
  <c r="IU39" i="22"/>
  <c r="CY39" i="22" s="1"/>
  <c r="CO27" i="22"/>
  <c r="CV46" i="22"/>
  <c r="IR54" i="22"/>
  <c r="IT32" i="22"/>
  <c r="CP32" i="22"/>
  <c r="IS32" i="22"/>
  <c r="IR32" i="22"/>
  <c r="IU32" i="22"/>
  <c r="CY32" i="22" s="1"/>
  <c r="CV32" i="22" s="1"/>
  <c r="IQ40" i="22"/>
  <c r="CP40" i="22" s="1"/>
  <c r="IS37" i="22"/>
  <c r="CP37" i="22"/>
  <c r="IT37" i="22"/>
  <c r="IS44" i="22"/>
  <c r="CP44" i="22"/>
  <c r="IR37" i="22"/>
  <c r="IR49" i="22"/>
  <c r="IR44" i="22"/>
  <c r="IU44" i="22"/>
  <c r="CY44" i="22" s="1"/>
  <c r="CW44" i="22" s="1"/>
  <c r="CX44" i="22" s="1"/>
  <c r="IU49" i="22"/>
  <c r="CY49" i="22" s="1"/>
  <c r="CP49" i="22"/>
  <c r="IU31" i="22"/>
  <c r="CY31" i="22" s="1"/>
  <c r="IT49" i="22"/>
  <c r="IT55" i="22"/>
  <c r="IR55" i="22"/>
  <c r="IS68" i="22"/>
  <c r="IT68" i="22"/>
  <c r="IU68" i="22"/>
  <c r="CY68" i="22" s="1"/>
  <c r="CW68" i="22" s="1"/>
  <c r="CX68" i="22" s="1"/>
  <c r="CP47" i="22"/>
  <c r="IS47" i="22"/>
  <c r="IR47" i="22"/>
  <c r="IT47" i="22"/>
  <c r="IU47" i="22"/>
  <c r="CY47" i="22" s="1"/>
  <c r="CW47" i="22" s="1"/>
  <c r="CX47" i="22" s="1"/>
  <c r="IU71" i="22"/>
  <c r="CY71" i="22" s="1"/>
  <c r="IR71" i="22"/>
  <c r="IT71" i="22"/>
  <c r="IS71" i="22"/>
  <c r="AM58" i="23"/>
  <c r="AL58" i="23"/>
  <c r="AY100" i="23"/>
  <c r="AK60" i="23"/>
  <c r="AM60" i="23"/>
  <c r="BK45" i="22"/>
  <c r="BL45" i="22"/>
  <c r="BK46" i="22"/>
  <c r="BJ46" i="22"/>
  <c r="BL46" i="22"/>
  <c r="BL40" i="22"/>
  <c r="BK40" i="22" s="1"/>
  <c r="CW46" i="22"/>
  <c r="CX46" i="22" s="1"/>
  <c r="CW41" i="22"/>
  <c r="CX41" i="22" s="1"/>
  <c r="CW43" i="22"/>
  <c r="CX43" i="22" s="1"/>
  <c r="CW45" i="22"/>
  <c r="CX45" i="22" s="1"/>
  <c r="BL44" i="22"/>
  <c r="BK44" i="22" s="1"/>
  <c r="BJ43" i="22"/>
  <c r="BK43" i="22"/>
  <c r="BL43" i="22"/>
  <c r="BL42" i="22"/>
  <c r="BK42" i="22"/>
  <c r="BL41" i="22"/>
  <c r="BK41" i="22" s="1"/>
  <c r="BL39" i="22"/>
  <c r="BK39" i="22"/>
  <c r="AM38" i="23" l="1"/>
  <c r="BC84" i="23"/>
  <c r="BA84" i="23" s="1"/>
  <c r="AY84" i="23" s="1"/>
  <c r="AK38" i="23"/>
  <c r="AM37" i="23"/>
  <c r="AK37" i="23"/>
  <c r="AY83" i="23"/>
  <c r="IS54" i="22"/>
  <c r="IU54" i="22"/>
  <c r="CY54" i="22" s="1"/>
  <c r="CW65" i="22"/>
  <c r="CX65" i="22" s="1"/>
  <c r="CV45" i="22"/>
  <c r="CT45" i="22" s="1"/>
  <c r="CU45" i="22" s="1"/>
  <c r="IS72" i="22"/>
  <c r="IU72" i="22"/>
  <c r="CY72" i="22" s="1"/>
  <c r="CW72" i="22" s="1"/>
  <c r="CX72" i="22" s="1"/>
  <c r="IR72" i="22"/>
  <c r="IT72" i="22"/>
  <c r="IT48" i="22"/>
  <c r="IR48" i="22"/>
  <c r="CP48" i="22"/>
  <c r="IS48" i="22"/>
  <c r="BV38" i="22"/>
  <c r="BM38" i="22" s="1"/>
  <c r="BV37" i="22"/>
  <c r="BM37" i="22" s="1"/>
  <c r="CV33" i="22"/>
  <c r="CV43" i="22"/>
  <c r="CT43" i="22" s="1"/>
  <c r="CU43" i="22" s="1"/>
  <c r="CV39" i="22"/>
  <c r="CT39" i="22" s="1"/>
  <c r="CU39" i="22" s="1"/>
  <c r="IU42" i="22"/>
  <c r="CY42" i="22" s="1"/>
  <c r="CW42" i="22" s="1"/>
  <c r="CX42" i="22" s="1"/>
  <c r="IR42" i="22"/>
  <c r="IS42" i="22"/>
  <c r="CP42" i="22"/>
  <c r="CV30" i="22"/>
  <c r="CW66" i="22"/>
  <c r="CX66" i="22" s="1"/>
  <c r="IU64" i="22"/>
  <c r="CY64" i="22" s="1"/>
  <c r="CW64" i="22" s="1"/>
  <c r="CX64" i="22" s="1"/>
  <c r="IR64" i="22"/>
  <c r="IS64" i="22"/>
  <c r="IT40" i="22"/>
  <c r="CW39" i="22"/>
  <c r="CX39" i="22" s="1"/>
  <c r="IS38" i="22"/>
  <c r="IU38" i="22"/>
  <c r="CY38" i="22" s="1"/>
  <c r="IR38" i="22"/>
  <c r="CP38" i="22"/>
  <c r="IU40" i="22"/>
  <c r="CY40" i="22" s="1"/>
  <c r="IR40" i="22"/>
  <c r="IS40" i="22"/>
  <c r="CV49" i="22"/>
  <c r="CT49" i="22" s="1"/>
  <c r="CU49" i="22" s="1"/>
  <c r="CW49" i="22"/>
  <c r="CX49" i="22" s="1"/>
  <c r="IU55" i="22"/>
  <c r="CY55" i="22" s="1"/>
  <c r="CV31" i="22" s="1"/>
  <c r="CV44" i="22"/>
  <c r="CT44" i="22" s="1"/>
  <c r="CU44" i="22" s="1"/>
  <c r="BV34" i="22"/>
  <c r="BM34" i="22" s="1"/>
  <c r="BL34" i="22" s="1"/>
  <c r="BK34" i="22" s="1"/>
  <c r="BV31" i="22"/>
  <c r="BM31" i="22" s="1"/>
  <c r="BL31" i="22" s="1"/>
  <c r="BK31" i="22" s="1"/>
  <c r="BV30" i="22"/>
  <c r="BM30" i="22" s="1"/>
  <c r="BL30" i="22" s="1"/>
  <c r="BK30" i="22" s="1"/>
  <c r="CW71" i="22"/>
  <c r="CX71" i="22" s="1"/>
  <c r="CV47" i="22"/>
  <c r="CT41" i="22"/>
  <c r="CU41" i="22" s="1"/>
  <c r="CT46" i="22"/>
  <c r="CU46" i="22" s="1"/>
  <c r="AZ84" i="23" l="1"/>
  <c r="CV48" i="22"/>
  <c r="CT48" i="22" s="1"/>
  <c r="CU48" i="22" s="1"/>
  <c r="BL38" i="22"/>
  <c r="BK38" i="22"/>
  <c r="BL37" i="22"/>
  <c r="BK37" i="22"/>
  <c r="CV42" i="22"/>
  <c r="CT42" i="22" s="1"/>
  <c r="CU42" i="22" s="1"/>
  <c r="CP27" i="22"/>
  <c r="BV27" i="22" s="1"/>
  <c r="CP24" i="22" s="1"/>
  <c r="BV36" i="22"/>
  <c r="BM36" i="22" s="1"/>
  <c r="BL36" i="22" s="1"/>
  <c r="BK36" i="22" s="1"/>
  <c r="BV33" i="22"/>
  <c r="BM33" i="22" s="1"/>
  <c r="BL33" i="22" s="1"/>
  <c r="BK33" i="22" s="1"/>
  <c r="BV32" i="22"/>
  <c r="BM32" i="22" s="1"/>
  <c r="BL32" i="22" s="1"/>
  <c r="BK32" i="22" s="1"/>
  <c r="BV35" i="22"/>
  <c r="BM35" i="22" s="1"/>
  <c r="BL35" i="22" s="1"/>
  <c r="BK35" i="22" s="1"/>
  <c r="CV40" i="22"/>
  <c r="CT40" i="22" s="1"/>
  <c r="CU40" i="22" s="1"/>
  <c r="CV38" i="22"/>
  <c r="CW40" i="22"/>
  <c r="CX40" i="22" s="1"/>
  <c r="CY29" i="22"/>
  <c r="CW38" i="22" s="1"/>
  <c r="CX38" i="22" s="1"/>
  <c r="CY50" i="22"/>
  <c r="CY53" i="22"/>
  <c r="CW62" i="22" s="1"/>
  <c r="CX62" i="22" s="1"/>
  <c r="CT47" i="22"/>
  <c r="CU47" i="22" s="1"/>
  <c r="CB25" i="22" l="1"/>
  <c r="CW36" i="22"/>
  <c r="CX36" i="22" s="1"/>
  <c r="CW37" i="22"/>
  <c r="CX37" i="22" s="1"/>
  <c r="CW54" i="22"/>
  <c r="CX54" i="22" s="1"/>
  <c r="CW61" i="22"/>
  <c r="CX61" i="22" s="1"/>
  <c r="BZ25" i="22"/>
  <c r="CN26" i="22"/>
  <c r="CI24" i="22"/>
  <c r="CP26" i="22"/>
  <c r="CM26" i="22"/>
  <c r="CM25" i="22"/>
  <c r="BW26" i="22"/>
  <c r="CI25" i="22"/>
  <c r="CM24" i="22"/>
  <c r="CC26" i="22"/>
  <c r="CP25" i="22"/>
  <c r="CF26" i="22"/>
  <c r="CL25" i="22"/>
  <c r="CO25" i="22"/>
  <c r="CB26" i="22"/>
  <c r="CE24" i="22"/>
  <c r="BX25" i="22"/>
  <c r="CF24" i="22"/>
  <c r="BX26" i="22"/>
  <c r="CB24" i="22"/>
  <c r="BY24" i="22"/>
  <c r="BZ24" i="22"/>
  <c r="BZ26" i="22"/>
  <c r="CG24" i="22"/>
  <c r="CN25" i="22"/>
  <c r="CJ24" i="22"/>
  <c r="CE25" i="22"/>
  <c r="CV29" i="22"/>
  <c r="CT35" i="22" s="1"/>
  <c r="CU35" i="22" s="1"/>
  <c r="BW25" i="22"/>
  <c r="CK26" i="22"/>
  <c r="BW24" i="22"/>
  <c r="BX24" i="22"/>
  <c r="CG26" i="22"/>
  <c r="CD26" i="22"/>
  <c r="CL24" i="22"/>
  <c r="CG25" i="22"/>
  <c r="CD24" i="22"/>
  <c r="CJ25" i="22"/>
  <c r="CA26" i="22"/>
  <c r="CK24" i="22"/>
  <c r="CH25" i="22"/>
  <c r="CO24" i="22"/>
  <c r="CN24" i="22"/>
  <c r="CL26" i="22"/>
  <c r="CA25" i="22"/>
  <c r="CA24" i="22"/>
  <c r="CK25" i="22"/>
  <c r="BY25" i="22"/>
  <c r="CI26" i="22"/>
  <c r="CD25" i="22"/>
  <c r="BY26" i="22"/>
  <c r="CC24" i="22"/>
  <c r="CO26" i="22"/>
  <c r="CF25" i="22"/>
  <c r="CH24" i="22"/>
  <c r="CH26" i="22"/>
  <c r="CE26" i="22"/>
  <c r="CJ26" i="22"/>
  <c r="CC25" i="22"/>
  <c r="AC17" i="22"/>
  <c r="AC18" i="22" s="1"/>
  <c r="CW31" i="22"/>
  <c r="CX31" i="22" s="1"/>
  <c r="CV50" i="22"/>
  <c r="CW32" i="22"/>
  <c r="CX32" i="22" s="1"/>
  <c r="CW60" i="22"/>
  <c r="CX60" i="22" s="1"/>
  <c r="CW30" i="22"/>
  <c r="CX30" i="22" s="1"/>
  <c r="CW35" i="22"/>
  <c r="CX35" i="22" s="1"/>
  <c r="CW58" i="22"/>
  <c r="CX58" i="22" s="1"/>
  <c r="CW59" i="22"/>
  <c r="CX59" i="22" s="1"/>
  <c r="CW34" i="22"/>
  <c r="CX34" i="22" s="1"/>
  <c r="CW33" i="22"/>
  <c r="CX33" i="22" s="1"/>
  <c r="CW57" i="22"/>
  <c r="CX57" i="22" s="1"/>
  <c r="CW55" i="22"/>
  <c r="CX55" i="22" s="1"/>
  <c r="CW56" i="22"/>
  <c r="CX56" i="22" s="1"/>
  <c r="CT38" i="22" l="1"/>
  <c r="CU38" i="22" s="1"/>
  <c r="CT30" i="22"/>
  <c r="CU30" i="22" s="1"/>
  <c r="CT36" i="22"/>
  <c r="CU36" i="22" s="1"/>
  <c r="CT37" i="22"/>
  <c r="CU37" i="22" s="1"/>
  <c r="BZ22" i="22"/>
  <c r="CB21" i="22"/>
  <c r="BZ20" i="22"/>
  <c r="CT34" i="22"/>
  <c r="CU34" i="22" s="1"/>
  <c r="CT33" i="22"/>
  <c r="CU33" i="22" s="1"/>
  <c r="CB20" i="22"/>
  <c r="CT31" i="22"/>
  <c r="CU31" i="22" s="1"/>
  <c r="CT32" i="22"/>
  <c r="CU32" i="22" s="1"/>
  <c r="CA21" i="22"/>
  <c r="CB22" i="22"/>
  <c r="CA20" i="22"/>
  <c r="BZ21" i="22"/>
  <c r="CA22" i="22"/>
  <c r="CX50" i="22"/>
  <c r="BY20" i="22" l="1"/>
  <c r="CU50" i="22"/>
  <c r="CR35" i="22" s="1"/>
  <c r="CS35" i="22" s="1"/>
  <c r="BY22" i="22"/>
  <c r="BY21" i="22"/>
  <c r="AV42" i="22"/>
  <c r="AV43" i="22"/>
  <c r="AV44" i="22"/>
  <c r="AV45" i="22"/>
  <c r="AV46" i="22"/>
  <c r="AV39" i="22"/>
  <c r="AV41" i="22"/>
  <c r="AV40" i="22"/>
  <c r="BX20" i="22" l="1"/>
  <c r="CC20" i="22" s="1"/>
  <c r="CR36" i="22"/>
  <c r="CS36" i="22" s="1"/>
  <c r="CR37" i="22"/>
  <c r="CS37" i="22" s="1"/>
  <c r="CR40" i="22"/>
  <c r="CS40" i="22" s="1"/>
  <c r="CR45" i="22"/>
  <c r="CS45" i="22" s="1"/>
  <c r="CR42" i="22"/>
  <c r="CS42" i="22" s="1"/>
  <c r="CR32" i="22"/>
  <c r="CS32" i="22" s="1"/>
  <c r="CR47" i="22"/>
  <c r="CS47" i="22" s="1"/>
  <c r="CR38" i="22"/>
  <c r="CS38" i="22" s="1"/>
  <c r="CR31" i="22"/>
  <c r="CS31" i="22" s="1"/>
  <c r="CR48" i="22"/>
  <c r="CS48" i="22" s="1"/>
  <c r="CR46" i="22"/>
  <c r="CS46" i="22" s="1"/>
  <c r="CR34" i="22"/>
  <c r="CS34" i="22" s="1"/>
  <c r="CR41" i="22"/>
  <c r="CS41" i="22" s="1"/>
  <c r="CR39" i="22"/>
  <c r="CS39" i="22" s="1"/>
  <c r="CR43" i="22"/>
  <c r="CS43" i="22" s="1"/>
  <c r="CR30" i="22"/>
  <c r="CS30" i="22" s="1"/>
  <c r="CR49" i="22"/>
  <c r="CS49" i="22" s="1"/>
  <c r="CR33" i="22"/>
  <c r="CS33" i="22" s="1"/>
  <c r="CR44" i="22"/>
  <c r="CS44" i="22" s="1"/>
  <c r="CC21" i="22" l="1"/>
  <c r="CE22" i="22"/>
  <c r="CC22" i="22"/>
  <c r="CE21" i="22"/>
  <c r="CE20" i="22"/>
  <c r="CS50" i="22"/>
  <c r="CF20" i="22" l="1"/>
  <c r="BW20" i="22" s="1"/>
  <c r="AV30" i="22" s="1"/>
  <c r="AV38" i="22"/>
  <c r="AV37" i="22"/>
  <c r="AV36" i="22" l="1"/>
  <c r="AV35" i="22"/>
  <c r="AV34" i="22"/>
  <c r="AV33" i="22"/>
  <c r="AV32" i="22"/>
  <c r="AV31" i="22"/>
  <c r="BJ45" i="22"/>
  <c r="AV29" i="22" l="1"/>
  <c r="AC19" i="22" s="1"/>
  <c r="T45" i="22" s="1"/>
  <c r="V45" i="22" s="1"/>
  <c r="X45" i="22" s="1"/>
  <c r="BJ38" i="22"/>
  <c r="BJ36" i="22"/>
  <c r="BJ42" i="22"/>
  <c r="BJ40" i="22"/>
  <c r="BJ39" i="22"/>
  <c r="BJ44" i="22"/>
  <c r="BJ34" i="22"/>
  <c r="BJ41" i="22"/>
  <c r="T30" i="22" l="1"/>
  <c r="V30" i="22" s="1"/>
  <c r="X30" i="22" s="1"/>
  <c r="AC49" i="22"/>
  <c r="AC30" i="22"/>
  <c r="W45" i="22"/>
  <c r="BH71" i="22" s="1"/>
  <c r="T31" i="22"/>
  <c r="V31" i="22" s="1"/>
  <c r="X31" i="22" s="1"/>
  <c r="T35" i="22"/>
  <c r="V35" i="22" s="1"/>
  <c r="X35" i="22" s="1"/>
  <c r="T32" i="22"/>
  <c r="V32" i="22" s="1"/>
  <c r="X32" i="22" s="1"/>
  <c r="T48" i="22"/>
  <c r="V48" i="22" s="1"/>
  <c r="X48" i="22" s="1"/>
  <c r="T44" i="22"/>
  <c r="V44" i="22" s="1"/>
  <c r="X44" i="22" s="1"/>
  <c r="T38" i="22"/>
  <c r="V38" i="22" s="1"/>
  <c r="X38" i="22" s="1"/>
  <c r="T33" i="22"/>
  <c r="V33" i="22" s="1"/>
  <c r="X33" i="22" s="1"/>
  <c r="T37" i="22"/>
  <c r="V37" i="22" s="1"/>
  <c r="X37" i="22" s="1"/>
  <c r="T46" i="22"/>
  <c r="Y46" i="22" s="1"/>
  <c r="T43" i="22"/>
  <c r="W43" i="22" s="1"/>
  <c r="AA43" i="22" s="1"/>
  <c r="T41" i="22"/>
  <c r="V41" i="22" s="1"/>
  <c r="X41" i="22" s="1"/>
  <c r="T47" i="22"/>
  <c r="V47" i="22" s="1"/>
  <c r="X47" i="22" s="1"/>
  <c r="AC48" i="22"/>
  <c r="T42" i="22"/>
  <c r="V42" i="22" s="1"/>
  <c r="X42" i="22" s="1"/>
  <c r="T49" i="22"/>
  <c r="Y49" i="22" s="1"/>
  <c r="AC47" i="22"/>
  <c r="T40" i="22"/>
  <c r="V40" i="22" s="1"/>
  <c r="X40" i="22" s="1"/>
  <c r="Y45" i="22"/>
  <c r="T36" i="22"/>
  <c r="V36" i="22" s="1"/>
  <c r="X36" i="22" s="1"/>
  <c r="T39" i="22"/>
  <c r="V39" i="22" s="1"/>
  <c r="X39" i="22" s="1"/>
  <c r="T34" i="22"/>
  <c r="V34" i="22" s="1"/>
  <c r="X34" i="22" s="1"/>
  <c r="BK71" i="22" l="1"/>
  <c r="BG71" i="22"/>
  <c r="AA45" i="22"/>
  <c r="AB45" i="22"/>
  <c r="BJ71" i="22"/>
  <c r="Y37" i="22"/>
  <c r="W37" i="22" s="1"/>
  <c r="BI63" i="22" s="1"/>
  <c r="Z45" i="22"/>
  <c r="Y31" i="22"/>
  <c r="W31" i="22" s="1"/>
  <c r="BI57" i="22" s="1"/>
  <c r="W46" i="22"/>
  <c r="BH72" i="22" s="1"/>
  <c r="Y30" i="22"/>
  <c r="W30" i="22" s="1"/>
  <c r="BJ56" i="22" s="1"/>
  <c r="Y35" i="22"/>
  <c r="W35" i="22" s="1"/>
  <c r="BI61" i="22" s="1"/>
  <c r="Y38" i="22"/>
  <c r="W38" i="22" s="1"/>
  <c r="Z38" i="22" s="1"/>
  <c r="Y42" i="22"/>
  <c r="V46" i="22"/>
  <c r="X46" i="22" s="1"/>
  <c r="Z43" i="22"/>
  <c r="BI45" i="22"/>
  <c r="Y34" i="22"/>
  <c r="W34" i="22" s="1"/>
  <c r="BJ60" i="22" s="1"/>
  <c r="W41" i="22"/>
  <c r="AA41" i="22" s="1"/>
  <c r="BI71" i="22"/>
  <c r="W40" i="22"/>
  <c r="BL66" i="22" s="1"/>
  <c r="BL71" i="22"/>
  <c r="Y44" i="22"/>
  <c r="W44" i="22" s="1"/>
  <c r="BK70" i="22" s="1"/>
  <c r="BI69" i="22"/>
  <c r="W39" i="22"/>
  <c r="AA39" i="22" s="1"/>
  <c r="BG69" i="22"/>
  <c r="Y40" i="22"/>
  <c r="V43" i="22"/>
  <c r="X43" i="22" s="1"/>
  <c r="W47" i="22"/>
  <c r="BK73" i="22" s="1"/>
  <c r="Y48" i="22"/>
  <c r="Y43" i="22"/>
  <c r="BL69" i="22"/>
  <c r="Y39" i="22"/>
  <c r="BJ69" i="22"/>
  <c r="AB43" i="22"/>
  <c r="W48" i="22"/>
  <c r="AA48" i="22" s="1"/>
  <c r="BI43" i="22"/>
  <c r="Y33" i="22"/>
  <c r="W33" i="22" s="1"/>
  <c r="Z33" i="22" s="1"/>
  <c r="Y41" i="22"/>
  <c r="BK69" i="22"/>
  <c r="Y47" i="22"/>
  <c r="Y32" i="22"/>
  <c r="W32" i="22" s="1"/>
  <c r="BJ31" i="22" s="1"/>
  <c r="BH69" i="22"/>
  <c r="W49" i="22"/>
  <c r="AD49" i="22" s="1"/>
  <c r="AF49" i="22" s="1"/>
  <c r="AG49" i="22" s="1"/>
  <c r="AL49" i="22" s="1"/>
  <c r="W42" i="22"/>
  <c r="BI68" i="22" s="1"/>
  <c r="Y36" i="22"/>
  <c r="W36" i="22" s="1"/>
  <c r="BI62" i="22" s="1"/>
  <c r="V49" i="22"/>
  <c r="X49" i="22" s="1"/>
  <c r="BJ37" i="22"/>
  <c r="BJ35" i="22"/>
  <c r="BJ63" i="22" l="1"/>
  <c r="BL72" i="22"/>
  <c r="AB46" i="22"/>
  <c r="BK56" i="22"/>
  <c r="BJ30" i="22"/>
  <c r="BI30" i="22" s="1"/>
  <c r="AA46" i="22"/>
  <c r="BG65" i="22"/>
  <c r="BI67" i="22"/>
  <c r="BG57" i="22"/>
  <c r="Z46" i="22"/>
  <c r="BG72" i="22"/>
  <c r="BK72" i="22"/>
  <c r="AB38" i="22"/>
  <c r="BI64" i="22"/>
  <c r="BI46" i="22"/>
  <c r="BJ72" i="22"/>
  <c r="BI72" i="22"/>
  <c r="BJ61" i="22"/>
  <c r="BL61" i="22"/>
  <c r="Z35" i="22"/>
  <c r="BH61" i="22"/>
  <c r="AA35" i="22"/>
  <c r="BJ67" i="22"/>
  <c r="BJ57" i="22"/>
  <c r="BK74" i="22"/>
  <c r="BG67" i="22"/>
  <c r="BK61" i="22"/>
  <c r="AB35" i="22"/>
  <c r="BG61" i="22"/>
  <c r="BK67" i="22"/>
  <c r="BL67" i="22"/>
  <c r="BI35" i="22"/>
  <c r="AA37" i="22"/>
  <c r="BL63" i="22"/>
  <c r="BI37" i="22"/>
  <c r="BG56" i="22"/>
  <c r="BL57" i="22"/>
  <c r="BH57" i="22"/>
  <c r="AB31" i="22"/>
  <c r="BI31" i="22"/>
  <c r="AA31" i="22"/>
  <c r="Z30" i="22"/>
  <c r="BI56" i="22"/>
  <c r="AB37" i="22"/>
  <c r="BL56" i="22"/>
  <c r="BH56" i="22"/>
  <c r="Z37" i="22"/>
  <c r="AA30" i="22"/>
  <c r="BK57" i="22"/>
  <c r="AB30" i="22"/>
  <c r="BG63" i="22"/>
  <c r="BK63" i="22"/>
  <c r="Z31" i="22"/>
  <c r="BH63" i="22"/>
  <c r="AD30" i="22"/>
  <c r="AF30" i="22" s="1"/>
  <c r="AG30" i="22" s="1"/>
  <c r="AL30" i="22" s="1"/>
  <c r="BG74" i="22"/>
  <c r="BJ58" i="22"/>
  <c r="BI70" i="22"/>
  <c r="BG64" i="22"/>
  <c r="AB42" i="22"/>
  <c r="BH64" i="22"/>
  <c r="BI38" i="22"/>
  <c r="AA38" i="22"/>
  <c r="Z44" i="22"/>
  <c r="BG70" i="22"/>
  <c r="AD47" i="22"/>
  <c r="AF47" i="22" s="1"/>
  <c r="AH47" i="22" s="1"/>
  <c r="BG75" i="22"/>
  <c r="BL65" i="22"/>
  <c r="BI65" i="22"/>
  <c r="BI39" i="22"/>
  <c r="BJ65" i="22"/>
  <c r="BI47" i="22"/>
  <c r="BJ68" i="22"/>
  <c r="Z34" i="22"/>
  <c r="BH60" i="22"/>
  <c r="BH59" i="22"/>
  <c r="BK64" i="22"/>
  <c r="BJ64" i="22"/>
  <c r="BH65" i="22"/>
  <c r="BG73" i="22"/>
  <c r="BL64" i="22"/>
  <c r="BL58" i="22"/>
  <c r="BI59" i="22"/>
  <c r="AB39" i="22"/>
  <c r="BI60" i="22"/>
  <c r="AA42" i="22"/>
  <c r="BK65" i="22"/>
  <c r="AA34" i="22"/>
  <c r="Z39" i="22"/>
  <c r="BI40" i="22"/>
  <c r="BI58" i="22"/>
  <c r="AB33" i="22"/>
  <c r="BL60" i="22"/>
  <c r="BI75" i="22"/>
  <c r="BJ59" i="22"/>
  <c r="BI34" i="22"/>
  <c r="Z32" i="22"/>
  <c r="BG59" i="22"/>
  <c r="BK59" i="22"/>
  <c r="BJ33" i="22"/>
  <c r="BI33" i="22" s="1"/>
  <c r="AB32" i="22"/>
  <c r="AA33" i="22"/>
  <c r="BJ32" i="22"/>
  <c r="BI32" i="22" s="1"/>
  <c r="BG60" i="22"/>
  <c r="Z49" i="22"/>
  <c r="BI48" i="22"/>
  <c r="BL75" i="22"/>
  <c r="BH58" i="22"/>
  <c r="BJ74" i="22"/>
  <c r="BL74" i="22"/>
  <c r="AA32" i="22"/>
  <c r="BK58" i="22"/>
  <c r="BK60" i="22"/>
  <c r="AB34" i="22"/>
  <c r="BI41" i="22"/>
  <c r="AA40" i="22"/>
  <c r="BK66" i="22"/>
  <c r="BG66" i="22"/>
  <c r="AB40" i="22"/>
  <c r="BH66" i="22"/>
  <c r="BL70" i="22"/>
  <c r="Z42" i="22"/>
  <c r="BH67" i="22"/>
  <c r="BJ73" i="22"/>
  <c r="BJ66" i="22"/>
  <c r="BI42" i="22"/>
  <c r="AB44" i="22"/>
  <c r="AB47" i="22"/>
  <c r="BI66" i="22"/>
  <c r="BH68" i="22"/>
  <c r="BH70" i="22"/>
  <c r="Z41" i="22"/>
  <c r="AB41" i="22"/>
  <c r="BJ70" i="22"/>
  <c r="BG68" i="22"/>
  <c r="BI44" i="22"/>
  <c r="BG58" i="22"/>
  <c r="BL59" i="22"/>
  <c r="BI74" i="22"/>
  <c r="BL73" i="22"/>
  <c r="Z40" i="22"/>
  <c r="AB36" i="22"/>
  <c r="AD48" i="22"/>
  <c r="AF48" i="22" s="1"/>
  <c r="AI48" i="22" s="1"/>
  <c r="AJ48" i="22" s="1"/>
  <c r="AA44" i="22"/>
  <c r="BI36" i="22"/>
  <c r="Z48" i="22"/>
  <c r="Z36" i="22"/>
  <c r="BH74" i="22"/>
  <c r="BJ75" i="22"/>
  <c r="BL68" i="22"/>
  <c r="BI49" i="22"/>
  <c r="BK75" i="22"/>
  <c r="BK68" i="22"/>
  <c r="BI73" i="22"/>
  <c r="BH73" i="22"/>
  <c r="AB48" i="22"/>
  <c r="AA47" i="22"/>
  <c r="Z47" i="22"/>
  <c r="AB49" i="22"/>
  <c r="BK62" i="22"/>
  <c r="BJ62" i="22"/>
  <c r="BL62" i="22"/>
  <c r="BG62" i="22"/>
  <c r="BH62" i="22"/>
  <c r="AA36" i="22"/>
  <c r="AA49" i="22"/>
  <c r="BH75" i="22"/>
  <c r="AI49" i="22"/>
  <c r="AJ49" i="22" s="1"/>
  <c r="AH49" i="22"/>
  <c r="AM49" i="22"/>
  <c r="AX44" i="22"/>
  <c r="AU49" i="22" l="1"/>
  <c r="AX31" i="22"/>
  <c r="AW31" i="22" s="1"/>
  <c r="AI30" i="22"/>
  <c r="AJ30" i="22" s="1"/>
  <c r="AH30" i="22"/>
  <c r="AI47" i="22"/>
  <c r="AJ47" i="22" s="1"/>
  <c r="AG47" i="22"/>
  <c r="AL47" i="22" s="1"/>
  <c r="AM47" i="22" s="1"/>
  <c r="BI55" i="22"/>
  <c r="BE56" i="22" s="1"/>
  <c r="BI66" i="23" s="1"/>
  <c r="BG66" i="23" s="1"/>
  <c r="BD66" i="23" s="1"/>
  <c r="BK55" i="22"/>
  <c r="BE58" i="22" s="1"/>
  <c r="BI68" i="23" s="1"/>
  <c r="BG68" i="23" s="1"/>
  <c r="BD68" i="23" s="1"/>
  <c r="BL55" i="22"/>
  <c r="BE59" i="22" s="1"/>
  <c r="BI69" i="23" s="1"/>
  <c r="BG69" i="23" s="1"/>
  <c r="BD69" i="23" s="1"/>
  <c r="AG48" i="22"/>
  <c r="AL48" i="22" s="1"/>
  <c r="AM48" i="22" s="1"/>
  <c r="AU48" i="22" s="1"/>
  <c r="AH48" i="22"/>
  <c r="BH55" i="22"/>
  <c r="BE55" i="22" s="1"/>
  <c r="BB55" i="22" s="1"/>
  <c r="BG55" i="22"/>
  <c r="BE54" i="22" s="1"/>
  <c r="BI64" i="23" s="1"/>
  <c r="BG64" i="23" s="1"/>
  <c r="BD64" i="23" s="1"/>
  <c r="BI29" i="22"/>
  <c r="U50" i="22" s="1"/>
  <c r="BJ55" i="22"/>
  <c r="BE57" i="22" s="1"/>
  <c r="BI67" i="23" s="1"/>
  <c r="BG67" i="23" s="1"/>
  <c r="BD67" i="23" s="1"/>
  <c r="AM30" i="22"/>
  <c r="AW44" i="22"/>
  <c r="AC44" i="22"/>
  <c r="AU47" i="22" l="1"/>
  <c r="AU30" i="22"/>
  <c r="BB56" i="22"/>
  <c r="AC31" i="22"/>
  <c r="AD31" i="22" s="1"/>
  <c r="AF31" i="22" s="1"/>
  <c r="BI65" i="23"/>
  <c r="BG65" i="23" s="1"/>
  <c r="BD65" i="23" s="1"/>
  <c r="BC64" i="23" s="1"/>
  <c r="BB58" i="22"/>
  <c r="BB59" i="22"/>
  <c r="BB54" i="22"/>
  <c r="BB57" i="22"/>
  <c r="AD44" i="22"/>
  <c r="AF44" i="22" s="1"/>
  <c r="AG44" i="22" s="1"/>
  <c r="AL44" i="22" s="1"/>
  <c r="AZ45" i="22"/>
  <c r="BB64" i="23" l="1"/>
  <c r="BA64" i="23" s="1"/>
  <c r="AY64" i="23" s="1"/>
  <c r="AZ54" i="22"/>
  <c r="BA54" i="22"/>
  <c r="AX32" i="22"/>
  <c r="AC32" i="22" s="1"/>
  <c r="AG31" i="22"/>
  <c r="AL31" i="22" s="1"/>
  <c r="AM31" i="22" s="1"/>
  <c r="AI31" i="22"/>
  <c r="AJ31" i="22" s="1"/>
  <c r="AI44" i="22"/>
  <c r="AJ44" i="22" s="1"/>
  <c r="AH44" i="22"/>
  <c r="AM44" i="22"/>
  <c r="AH31" i="22"/>
  <c r="AW45" i="22"/>
  <c r="AC45" i="22"/>
  <c r="AU31" i="22" l="1"/>
  <c r="AU44" i="22"/>
  <c r="AZ64" i="23"/>
  <c r="Y64" i="23" s="1"/>
  <c r="BC65" i="23"/>
  <c r="BA65" i="23" s="1"/>
  <c r="BC66" i="23" s="1"/>
  <c r="BA66" i="23" s="1"/>
  <c r="AY66" i="23" s="1"/>
  <c r="AY54" i="22"/>
  <c r="AX54" i="22" s="1"/>
  <c r="Z51" i="22" s="1"/>
  <c r="AW32" i="22"/>
  <c r="AD45" i="22"/>
  <c r="AF45" i="22" s="1"/>
  <c r="AG45" i="22" s="1"/>
  <c r="AL45" i="22" s="1"/>
  <c r="AD32" i="22"/>
  <c r="AF32" i="22" s="1"/>
  <c r="AX35" i="22"/>
  <c r="AZ46" i="22"/>
  <c r="Z64" i="23" l="1"/>
  <c r="V64" i="23"/>
  <c r="AW54" i="22"/>
  <c r="AA51" i="22" s="1"/>
  <c r="BA55" i="22"/>
  <c r="AY55" i="22" s="1"/>
  <c r="AW55" i="22" s="1"/>
  <c r="W51" i="22"/>
  <c r="AZ66" i="23"/>
  <c r="Y66" i="23" s="1"/>
  <c r="AZ65" i="23"/>
  <c r="Y65" i="23" s="1"/>
  <c r="BC67" i="23"/>
  <c r="BA67" i="23" s="1"/>
  <c r="AY67" i="23" s="1"/>
  <c r="AY65" i="23"/>
  <c r="AX33" i="22"/>
  <c r="AW33" i="22" s="1"/>
  <c r="AG32" i="22"/>
  <c r="AL32" i="22" s="1"/>
  <c r="AM32" i="22" s="1"/>
  <c r="AI32" i="22"/>
  <c r="AJ32" i="22" s="1"/>
  <c r="AU32" i="22" s="1"/>
  <c r="AH32" i="22"/>
  <c r="AH45" i="22"/>
  <c r="AM45" i="22"/>
  <c r="AI45" i="22"/>
  <c r="AJ45" i="22" s="1"/>
  <c r="AU45" i="22" s="1"/>
  <c r="AW46" i="22"/>
  <c r="AC46" i="22"/>
  <c r="AW35" i="22"/>
  <c r="AC35" i="22"/>
  <c r="BA56" i="22" l="1"/>
  <c r="AY56" i="22" s="1"/>
  <c r="BA57" i="22" s="1"/>
  <c r="AY57" i="22" s="1"/>
  <c r="AX57" i="22" s="1"/>
  <c r="W54" i="22" s="1"/>
  <c r="AX55" i="22"/>
  <c r="W52" i="22" s="1"/>
  <c r="BC68" i="23"/>
  <c r="BA68" i="23" s="1"/>
  <c r="AY68" i="23" s="1"/>
  <c r="AZ67" i="23"/>
  <c r="Z67" i="23" s="1"/>
  <c r="Z66" i="23"/>
  <c r="V65" i="23"/>
  <c r="V66" i="23"/>
  <c r="Z65" i="23"/>
  <c r="AC33" i="22"/>
  <c r="AD33" i="22" s="1"/>
  <c r="AF33" i="22" s="1"/>
  <c r="AD35" i="22"/>
  <c r="AF35" i="22" s="1"/>
  <c r="AD46" i="22"/>
  <c r="AF46" i="22" s="1"/>
  <c r="AG46" i="22" s="1"/>
  <c r="AL46" i="22" s="1"/>
  <c r="AA52" i="22" l="1"/>
  <c r="Z52" i="22"/>
  <c r="BA58" i="22"/>
  <c r="AY58" i="22" s="1"/>
  <c r="AW58" i="22" s="1"/>
  <c r="Z54" i="22"/>
  <c r="Y67" i="23"/>
  <c r="AA54" i="22"/>
  <c r="V67" i="23"/>
  <c r="AW57" i="22"/>
  <c r="AX56" i="22"/>
  <c r="W53" i="22" s="1"/>
  <c r="AW56" i="22"/>
  <c r="BC69" i="23"/>
  <c r="BA69" i="23" s="1"/>
  <c r="AZ69" i="23" s="1"/>
  <c r="Y69" i="23" s="1"/>
  <c r="AZ68" i="23"/>
  <c r="V68" i="23" s="1"/>
  <c r="AX34" i="22"/>
  <c r="AW34" i="22" s="1"/>
  <c r="AG33" i="22"/>
  <c r="AL33" i="22" s="1"/>
  <c r="AM33" i="22" s="1"/>
  <c r="AX36" i="22"/>
  <c r="AW36" i="22" s="1"/>
  <c r="AG35" i="22"/>
  <c r="AL35" i="22" s="1"/>
  <c r="AM35" i="22" s="1"/>
  <c r="AI33" i="22"/>
  <c r="AJ33" i="22" s="1"/>
  <c r="AH33" i="22"/>
  <c r="AM46" i="22"/>
  <c r="AH46" i="22"/>
  <c r="AI46" i="22"/>
  <c r="AJ46" i="22" s="1"/>
  <c r="AI35" i="22"/>
  <c r="AJ35" i="22" s="1"/>
  <c r="AH35" i="22"/>
  <c r="AU46" i="22" l="1"/>
  <c r="AU35" i="22"/>
  <c r="AU33" i="22"/>
  <c r="AA53" i="22"/>
  <c r="Z53" i="22"/>
  <c r="AY69" i="23"/>
  <c r="BA59" i="22"/>
  <c r="AY59" i="22" s="1"/>
  <c r="AW59" i="22" s="1"/>
  <c r="AX58" i="22"/>
  <c r="W55" i="22" s="1"/>
  <c r="Z69" i="23"/>
  <c r="V69" i="23"/>
  <c r="Z68" i="23"/>
  <c r="Y68" i="23"/>
  <c r="AC36" i="22"/>
  <c r="AD36" i="22" s="1"/>
  <c r="AF36" i="22" s="1"/>
  <c r="AG36" i="22" s="1"/>
  <c r="AL36" i="22" s="1"/>
  <c r="AC34" i="22"/>
  <c r="AD34" i="22" s="1"/>
  <c r="AF34" i="22" s="1"/>
  <c r="AX37" i="22"/>
  <c r="AA55" i="22" l="1"/>
  <c r="AX59" i="22"/>
  <c r="Z56" i="22" s="1"/>
  <c r="Z55" i="22"/>
  <c r="AI34" i="22"/>
  <c r="AJ34" i="22" s="1"/>
  <c r="AG34" i="22"/>
  <c r="AL34" i="22" s="1"/>
  <c r="AM34" i="22" s="1"/>
  <c r="AI36" i="22"/>
  <c r="AJ36" i="22" s="1"/>
  <c r="AH36" i="22"/>
  <c r="AM36" i="22"/>
  <c r="AH34" i="22"/>
  <c r="AW37" i="22"/>
  <c r="AC37" i="22"/>
  <c r="AU34" i="22" l="1"/>
  <c r="AU36" i="22"/>
  <c r="AA56" i="22"/>
  <c r="W56" i="22"/>
  <c r="AD37" i="22"/>
  <c r="AF37" i="22" s="1"/>
  <c r="AY38" i="22" l="1"/>
  <c r="AW38" i="22" s="1"/>
  <c r="AG37" i="22"/>
  <c r="AL37" i="22" s="1"/>
  <c r="AM37" i="22" s="1"/>
  <c r="AI37" i="22"/>
  <c r="AJ37" i="22" s="1"/>
  <c r="AH37" i="22"/>
  <c r="AC38" i="22"/>
  <c r="AU37" i="22" l="1"/>
  <c r="AD38" i="22"/>
  <c r="AF38" i="22" s="1"/>
  <c r="AG38" i="22" s="1"/>
  <c r="AL38" i="22" s="1"/>
  <c r="AY39" i="22"/>
  <c r="AI38" i="22" l="1"/>
  <c r="AJ38" i="22" s="1"/>
  <c r="AH38" i="22"/>
  <c r="AM38" i="22"/>
  <c r="AW39" i="22"/>
  <c r="AC39" i="22"/>
  <c r="AU38" i="22" l="1"/>
  <c r="AD39" i="22"/>
  <c r="AF39" i="22" s="1"/>
  <c r="AG39" i="22" s="1"/>
  <c r="AL39" i="22" s="1"/>
  <c r="AY40" i="22"/>
  <c r="AH39" i="22" l="1"/>
  <c r="AI39" i="22"/>
  <c r="AJ39" i="22" s="1"/>
  <c r="AM39" i="22"/>
  <c r="AW40" i="22"/>
  <c r="AC40" i="22"/>
  <c r="AU39" i="22" l="1"/>
  <c r="AD40" i="22"/>
  <c r="AF40" i="22" s="1"/>
  <c r="AG40" i="22" s="1"/>
  <c r="AL40" i="22" s="1"/>
  <c r="AY41" i="22"/>
  <c r="AI40" i="22" l="1"/>
  <c r="AJ40" i="22" s="1"/>
  <c r="AM40" i="22"/>
  <c r="AH40" i="22"/>
  <c r="AW41" i="22"/>
  <c r="AC41" i="22"/>
  <c r="AU40" i="22" l="1"/>
  <c r="AD41" i="22"/>
  <c r="AF41" i="22" s="1"/>
  <c r="AG41" i="22" s="1"/>
  <c r="AL41" i="22" s="1"/>
  <c r="AY42" i="22"/>
  <c r="AI41" i="22" l="1"/>
  <c r="AJ41" i="22" s="1"/>
  <c r="AM41" i="22"/>
  <c r="AH41" i="22"/>
  <c r="AW42" i="22"/>
  <c r="AC42" i="22"/>
  <c r="AU41" i="22" l="1"/>
  <c r="AD42" i="22"/>
  <c r="AF42" i="22" s="1"/>
  <c r="AG42" i="22" s="1"/>
  <c r="AL42" i="22" s="1"/>
  <c r="AY43" i="22"/>
  <c r="AI42" i="22" l="1"/>
  <c r="AJ42" i="22" s="1"/>
  <c r="AM42" i="22"/>
  <c r="AH42" i="22"/>
  <c r="AW43" i="22"/>
  <c r="AC43" i="22"/>
  <c r="AU42" i="22" l="1"/>
  <c r="AD43" i="22"/>
  <c r="AF43" i="22" s="1"/>
  <c r="AG43" i="22" s="1"/>
  <c r="AL43" i="22" s="1"/>
  <c r="AU27" i="22" l="1"/>
  <c r="AH43" i="22"/>
  <c r="AI43" i="22"/>
  <c r="AJ43" i="22" s="1"/>
  <c r="AU43" i="22" s="1"/>
  <c r="AM43" i="22"/>
  <c r="AU29" i="22" l="1"/>
  <c r="AJ19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Paulo Gomes</author>
    <author>Utilizador</author>
  </authors>
  <commentList>
    <comment ref="U2" authorId="0" shapeId="0" xr:uid="{00000000-0006-0000-0000-000001000000}">
      <text>
        <r>
          <rPr>
            <b/>
            <sz val="10"/>
            <color indexed="18"/>
            <rFont val="Tahoma"/>
            <family val="2"/>
          </rPr>
          <t xml:space="preserve">Opcional: </t>
        </r>
        <r>
          <rPr>
            <sz val="10"/>
            <color indexed="18"/>
            <rFont val="Tahoma"/>
            <family val="2"/>
          </rPr>
          <t>Introduza um código para identificação do dimensionamento.</t>
        </r>
      </text>
    </comment>
    <comment ref="AC2" authorId="0" shapeId="0" xr:uid="{00000000-0006-0000-0000-000002000000}">
      <text>
        <r>
          <rPr>
            <b/>
            <sz val="10"/>
            <color indexed="18"/>
            <rFont val="Tahoma"/>
            <family val="2"/>
          </rPr>
          <t xml:space="preserve">Opcional: </t>
        </r>
        <r>
          <rPr>
            <sz val="10"/>
            <color indexed="18"/>
            <rFont val="Tahoma"/>
            <family val="2"/>
          </rPr>
          <t>Introduza uma descrição/localização  sumária do dimensionamento.</t>
        </r>
      </text>
    </comment>
    <comment ref="AM2" authorId="0" shapeId="0" xr:uid="{00000000-0006-0000-0000-000003000000}">
      <text>
        <r>
          <rPr>
            <b/>
            <sz val="10"/>
            <color indexed="18"/>
            <rFont val="Tahoma"/>
            <family val="2"/>
          </rPr>
          <t xml:space="preserve">Opcional: </t>
        </r>
        <r>
          <rPr>
            <sz val="10"/>
            <color indexed="18"/>
            <rFont val="Tahoma"/>
            <family val="2"/>
          </rPr>
          <t>Introduza a data do dimensionamento.</t>
        </r>
      </text>
    </comment>
    <comment ref="J5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Seleccionar o </t>
        </r>
        <r>
          <rPr>
            <b/>
            <sz val="9"/>
            <color indexed="81"/>
            <rFont val="Tahoma"/>
            <family val="2"/>
          </rPr>
          <t>tipo de gás</t>
        </r>
        <r>
          <rPr>
            <sz val="9"/>
            <color indexed="81"/>
            <rFont val="Tahoma"/>
            <family val="2"/>
          </rPr>
          <t xml:space="preserve"> a utilizar (ver </t>
        </r>
        <r>
          <rPr>
            <b/>
            <sz val="9"/>
            <color indexed="81"/>
            <rFont val="Tahoma"/>
            <family val="2"/>
          </rPr>
          <t>Quadro 0</t>
        </r>
        <r>
          <rPr>
            <sz val="9"/>
            <color indexed="81"/>
            <rFont val="Tahoma"/>
            <family val="2"/>
          </rPr>
          <t xml:space="preserve">). </t>
        </r>
      </text>
    </comment>
    <comment ref="S5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O conceito de </t>
        </r>
        <r>
          <rPr>
            <b/>
            <sz val="9"/>
            <color indexed="81"/>
            <rFont val="Tahoma"/>
            <family val="2"/>
          </rPr>
          <t>Fogos tipo 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81"/>
            <rFont val="Tahoma"/>
            <family val="2"/>
          </rPr>
          <t>tipo 2</t>
        </r>
        <r>
          <rPr>
            <sz val="9"/>
            <color indexed="81"/>
            <rFont val="Tahoma"/>
            <family val="2"/>
          </rPr>
          <t xml:space="preserve">, refere-se ao conjunto e características dos Aparelhos a Gás que equipam um determinado fogo, isto é, qual </t>
        </r>
        <r>
          <rPr>
            <b/>
            <sz val="9"/>
            <color indexed="81"/>
            <rFont val="Tahoma"/>
            <family val="2"/>
          </rPr>
          <t>potência instalada nesse fogo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Tahoma"/>
            <family val="2"/>
          </rPr>
          <t>Por exemplo</t>
        </r>
        <r>
          <rPr>
            <sz val="9"/>
            <color indexed="81"/>
            <rFont val="Tahoma"/>
            <family val="2"/>
          </rPr>
          <t xml:space="preserve">, se todos os Fogos do edifício em análise possuem o mesmo tipo e quantidade de Aparelhos a Gás, então conclui-se que apenas existe um Fogo tipo, a ser designado como </t>
        </r>
        <r>
          <rPr>
            <b/>
            <sz val="9"/>
            <color indexed="81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.  
</t>
        </r>
        <r>
          <rPr>
            <b/>
            <sz val="8"/>
            <color indexed="81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esta folha de cálculo permite a análise directa de 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tipos de Fogo.</t>
        </r>
      </text>
    </comment>
    <comment ref="AG5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 conceito de </t>
        </r>
        <r>
          <rPr>
            <b/>
            <sz val="9"/>
            <color indexed="81"/>
            <rFont val="Tahoma"/>
            <family val="2"/>
          </rPr>
          <t>Fogos tipo 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81"/>
            <rFont val="Tahoma"/>
            <family val="2"/>
          </rPr>
          <t>tipo 2</t>
        </r>
        <r>
          <rPr>
            <sz val="9"/>
            <color indexed="81"/>
            <rFont val="Tahoma"/>
            <family val="2"/>
          </rPr>
          <t xml:space="preserve">, refere-se ao conjunto e características dos Aparelhos a Gás que equipam um determinado fogo, isto é, qual </t>
        </r>
        <r>
          <rPr>
            <b/>
            <sz val="9"/>
            <color indexed="81"/>
            <rFont val="Tahoma"/>
            <family val="2"/>
          </rPr>
          <t>potência instalada nesse fogo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Tahoma"/>
            <family val="2"/>
          </rPr>
          <t>Por exemplo</t>
        </r>
        <r>
          <rPr>
            <sz val="9"/>
            <color indexed="81"/>
            <rFont val="Tahoma"/>
            <family val="2"/>
          </rPr>
          <t xml:space="preserve">, se na totalidade dos Fogos abastecidos pela instalação em análise, existe um sub-grupo que possuí o mesmo tipo e quantidade de Aparelhos a Gás, acrescido de outro sub-grupo de Fogos equipados com um tipo e quantidade de Aparelhos a Gás distinto do primeiro, </t>
        </r>
        <r>
          <rPr>
            <b/>
            <sz val="9"/>
            <color indexed="81"/>
            <rFont val="Tahoma"/>
            <family val="2"/>
          </rPr>
          <t>então existirão 2 Fogos tipo</t>
        </r>
        <r>
          <rPr>
            <sz val="9"/>
            <color indexed="81"/>
            <rFont val="Tahoma"/>
            <family val="2"/>
          </rPr>
          <t xml:space="preserve">, a serem diferenciados como </t>
        </r>
        <r>
          <rPr>
            <b/>
            <sz val="9"/>
            <color indexed="81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 e </t>
        </r>
        <r>
          <rPr>
            <b/>
            <sz val="9"/>
            <color indexed="81"/>
            <rFont val="Tahoma"/>
            <family val="2"/>
          </rPr>
          <t>Fogo tipo 2</t>
        </r>
        <r>
          <rPr>
            <sz val="9"/>
            <color indexed="81"/>
            <rFont val="Tahoma"/>
            <family val="2"/>
          </rPr>
          <t xml:space="preserve">.  
</t>
        </r>
        <r>
          <rPr>
            <b/>
            <sz val="8"/>
            <color indexed="81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esta folha de cálculo permite a análise directa de 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tipos de Fogo. </t>
        </r>
      </text>
    </comment>
    <comment ref="J6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do </t>
        </r>
        <r>
          <rPr>
            <b/>
            <sz val="9"/>
            <color indexed="81"/>
            <rFont val="Tahoma"/>
            <family val="2"/>
          </rPr>
          <t>Poder Calorífico Inferior</t>
        </r>
        <r>
          <rPr>
            <sz val="9"/>
            <color indexed="81"/>
            <rFont val="Tahoma"/>
            <family val="2"/>
          </rPr>
          <t xml:space="preserve"> do gás (em </t>
        </r>
        <r>
          <rPr>
            <b/>
            <sz val="9"/>
            <color indexed="81"/>
            <rFont val="Tahoma"/>
            <family val="2"/>
          </rPr>
          <t>kcal/m</t>
        </r>
        <r>
          <rPr>
            <b/>
            <vertAlign val="superscript"/>
            <sz val="9"/>
            <color indexed="81"/>
            <rFont val="Tahoma"/>
            <family val="2"/>
          </rPr>
          <t>3</t>
        </r>
        <r>
          <rPr>
            <sz val="8"/>
            <color indexed="81"/>
            <rFont val="Tahoma"/>
            <family val="2"/>
          </rPr>
          <t>(n)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7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Densidade Relativa</t>
        </r>
        <r>
          <rPr>
            <sz val="9"/>
            <color indexed="81"/>
            <rFont val="Tahoma"/>
            <family val="2"/>
          </rPr>
          <t xml:space="preserve"> do gás, no caso de pretender um valor diferente do proposto por defeito.
</t>
        </r>
      </text>
    </comment>
    <comment ref="J8" authorId="1" shapeId="0" xr:uid="{00000000-0006-0000-0000-000009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Densidade Corrigida</t>
        </r>
        <r>
          <rPr>
            <sz val="9"/>
            <color indexed="81"/>
            <rFont val="Tahoma"/>
            <family val="2"/>
          </rPr>
          <t xml:space="preserve"> do gás, no caso de pretender um valor diferente do proposto por defeito.
</t>
        </r>
      </text>
    </comment>
    <comment ref="J9" authorId="1" shapeId="0" xr:uid="{00000000-0006-0000-0000-00000A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Massa Volúmica</t>
        </r>
        <r>
          <rPr>
            <sz val="9"/>
            <color indexed="81"/>
            <rFont val="Tahoma"/>
            <family val="2"/>
          </rPr>
          <t xml:space="preserve"> do gás (em </t>
        </r>
        <r>
          <rPr>
            <b/>
            <sz val="9"/>
            <color indexed="81"/>
            <rFont val="Tahoma"/>
            <family val="2"/>
          </rPr>
          <t>kg/m</t>
        </r>
        <r>
          <rPr>
            <b/>
            <vertAlign val="superscript"/>
            <sz val="9"/>
            <color indexed="81"/>
            <rFont val="Tahoma"/>
            <family val="2"/>
          </rPr>
          <t>3</t>
        </r>
        <r>
          <rPr>
            <sz val="8"/>
            <color indexed="81"/>
            <rFont val="Tahoma"/>
            <family val="2"/>
          </rPr>
          <t>(n)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S9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Seleccionar os Aparelhos a Gás a utilizar (ver </t>
        </r>
        <r>
          <rPr>
            <b/>
            <sz val="9"/>
            <color indexed="81"/>
            <rFont val="Tahoma"/>
            <family val="2"/>
          </rPr>
          <t>Quadro 1</t>
        </r>
        <r>
          <rPr>
            <sz val="9"/>
            <color indexed="81"/>
            <rFont val="Tahoma"/>
            <family val="2"/>
          </rPr>
          <t>).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G9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Seleccionar os Aparelhos a Gás a utilizar (ver </t>
        </r>
        <r>
          <rPr>
            <b/>
            <sz val="9"/>
            <color indexed="81"/>
            <rFont val="Tahoma"/>
            <family val="2"/>
          </rPr>
          <t>Quadro 1</t>
        </r>
        <r>
          <rPr>
            <sz val="9"/>
            <color indexed="81"/>
            <rFont val="Tahoma"/>
            <family val="2"/>
          </rPr>
          <t>).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J10" authorId="1" shapeId="0" xr:uid="{00000000-0006-0000-0000-00000D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Pressão de Abastecimento</t>
        </r>
        <r>
          <rPr>
            <sz val="9"/>
            <color indexed="81"/>
            <rFont val="Tahoma"/>
            <family val="2"/>
          </rPr>
          <t xml:space="preserve"> (em </t>
        </r>
        <r>
          <rPr>
            <b/>
            <sz val="9"/>
            <color indexed="81"/>
            <rFont val="Tahoma"/>
            <family val="2"/>
          </rPr>
          <t>mbar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11" authorId="1" shapeId="0" xr:uid="{00000000-0006-0000-0000-00000E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Perda de Carga Admissível</t>
        </r>
        <r>
          <rPr>
            <sz val="9"/>
            <color indexed="81"/>
            <rFont val="Tahoma"/>
            <family val="2"/>
          </rPr>
          <t xml:space="preserve"> (em </t>
        </r>
        <r>
          <rPr>
            <b/>
            <sz val="9"/>
            <color indexed="81"/>
            <rFont val="Tahoma"/>
            <family val="2"/>
          </rPr>
          <t>mbar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12" authorId="1" shapeId="0" xr:uid="{00000000-0006-0000-0000-00000F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 xml:space="preserve">Velocidade de Escoamento Admissível </t>
        </r>
        <r>
          <rPr>
            <sz val="9"/>
            <color indexed="81"/>
            <rFont val="Tahoma"/>
            <family val="2"/>
          </rPr>
          <t xml:space="preserve">(em </t>
        </r>
        <r>
          <rPr>
            <b/>
            <sz val="9"/>
            <color indexed="81"/>
            <rFont val="Tahoma"/>
            <family val="2"/>
          </rPr>
          <t>m/s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13" authorId="1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percentual de </t>
        </r>
        <r>
          <rPr>
            <b/>
            <sz val="9"/>
            <color indexed="81"/>
            <rFont val="Tahoma"/>
            <family val="2"/>
          </rPr>
          <t>afectação das perdas de carga locais</t>
        </r>
        <r>
          <rPr>
            <sz val="9"/>
            <color indexed="81"/>
            <rFont val="Tahoma"/>
            <family val="2"/>
          </rPr>
          <t xml:space="preserve"> (em </t>
        </r>
        <r>
          <rPr>
            <b/>
            <sz val="9"/>
            <color indexed="81"/>
            <rFont val="Tahoma"/>
            <family val="2"/>
          </rPr>
          <t>%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14" authorId="1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 xml:space="preserve">Pressão Atmosférica </t>
        </r>
        <r>
          <rPr>
            <sz val="9"/>
            <color indexed="81"/>
            <rFont val="Tahoma"/>
            <family val="2"/>
          </rPr>
          <t xml:space="preserve">(em </t>
        </r>
        <r>
          <rPr>
            <b/>
            <sz val="9"/>
            <color indexed="81"/>
            <rFont val="Tahoma"/>
            <family val="2"/>
          </rPr>
          <t>mbar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J15" authorId="0" shapeId="0" xr:uid="{00000000-0006-0000-0000-000012000000}">
      <text>
        <r>
          <rPr>
            <sz val="10"/>
            <color indexed="81"/>
            <rFont val="Tahoma"/>
            <family val="2"/>
          </rPr>
          <t xml:space="preserve">Para seleccionar a concessionária </t>
        </r>
        <r>
          <rPr>
            <b/>
            <sz val="10"/>
            <color indexed="81"/>
            <rFont val="Tahoma"/>
            <family val="2"/>
          </rPr>
          <t>EDP Gás</t>
        </r>
        <r>
          <rPr>
            <sz val="10"/>
            <color indexed="81"/>
            <rFont val="Tahoma"/>
            <family val="2"/>
          </rPr>
          <t xml:space="preserve">, marcar </t>
        </r>
        <r>
          <rPr>
            <b/>
            <sz val="10"/>
            <color indexed="81"/>
            <rFont val="Tahoma"/>
            <family val="2"/>
          </rPr>
          <t xml:space="preserve">X </t>
        </r>
        <r>
          <rPr>
            <sz val="10"/>
            <color indexed="81"/>
            <rFont val="Tahoma"/>
            <family val="2"/>
          </rPr>
          <t>.</t>
        </r>
      </text>
    </comment>
    <comment ref="J16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Para contemplar </t>
        </r>
        <r>
          <rPr>
            <b/>
            <sz val="9"/>
            <color indexed="81"/>
            <rFont val="Tahoma"/>
            <family val="2"/>
          </rPr>
          <t>Aquecimento Ambiente</t>
        </r>
        <r>
          <rPr>
            <sz val="9"/>
            <color indexed="81"/>
            <rFont val="Tahoma"/>
            <family val="2"/>
          </rPr>
          <t xml:space="preserve">, marcar </t>
        </r>
        <r>
          <rPr>
            <b/>
            <sz val="9"/>
            <color indexed="81"/>
            <rFont val="Tahoma"/>
            <family val="2"/>
          </rPr>
          <t>X</t>
        </r>
        <r>
          <rPr>
            <sz val="9"/>
            <color indexed="81"/>
            <rFont val="Tahoma"/>
            <family val="2"/>
          </rPr>
          <t xml:space="preserve"> .</t>
        </r>
      </text>
    </comment>
    <comment ref="J17" authorId="0" shapeId="0" xr:uid="{00000000-0006-0000-0000-000014000000}">
      <text>
        <r>
          <rPr>
            <sz val="10"/>
            <color indexed="81"/>
            <rFont val="Tahoma"/>
            <family val="2"/>
          </rPr>
          <t>Para utilizar o "</t>
        </r>
        <r>
          <rPr>
            <b/>
            <sz val="10"/>
            <color indexed="81"/>
            <rFont val="Tahoma"/>
            <family val="2"/>
          </rPr>
          <t>kPa</t>
        </r>
        <r>
          <rPr>
            <sz val="10"/>
            <color indexed="81"/>
            <rFont val="Tahoma"/>
            <family val="2"/>
          </rPr>
          <t xml:space="preserve">" como unidade de pressão, marcar </t>
        </r>
        <r>
          <rPr>
            <b/>
            <sz val="10"/>
            <color indexed="81"/>
            <rFont val="Tahoma"/>
            <family val="2"/>
          </rPr>
          <t xml:space="preserve">X </t>
        </r>
        <r>
          <rPr>
            <sz val="10"/>
            <color indexed="81"/>
            <rFont val="Tahoma"/>
            <family val="2"/>
          </rPr>
          <t>.</t>
        </r>
      </text>
    </comment>
    <comment ref="J18" authorId="0" shapeId="0" xr:uid="{00000000-0006-0000-0000-000015000000}">
      <text>
        <r>
          <rPr>
            <sz val="10"/>
            <color indexed="81"/>
            <rFont val="Tahoma"/>
            <family val="2"/>
          </rPr>
          <t xml:space="preserve">Para utilizar o formulário </t>
        </r>
        <r>
          <rPr>
            <b/>
            <sz val="10"/>
            <color indexed="81"/>
            <rFont val="Tahoma"/>
            <family val="2"/>
          </rPr>
          <t>APTA</t>
        </r>
        <r>
          <rPr>
            <sz val="10"/>
            <color indexed="81"/>
            <rFont val="Tahoma"/>
            <family val="2"/>
          </rPr>
          <t xml:space="preserve">, marcar </t>
        </r>
        <r>
          <rPr>
            <b/>
            <sz val="10"/>
            <color indexed="81"/>
            <rFont val="Tahoma"/>
            <family val="2"/>
          </rPr>
          <t>X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>(consultar procedimentos)</t>
        </r>
        <r>
          <rPr>
            <sz val="10"/>
            <color indexed="81"/>
            <rFont val="Tahoma"/>
            <family val="2"/>
          </rPr>
          <t>.</t>
        </r>
      </text>
    </comment>
    <comment ref="J19" authorId="0" shapeId="0" xr:uid="{00000000-0006-0000-0000-000016000000}">
      <text>
        <r>
          <rPr>
            <sz val="10"/>
            <color indexed="81"/>
            <rFont val="Tahoma"/>
            <family val="2"/>
          </rPr>
          <t>Optar com a colocação da marca "</t>
        </r>
        <r>
          <rPr>
            <b/>
            <sz val="10"/>
            <color indexed="81"/>
            <rFont val="Tahoma"/>
            <family val="2"/>
          </rPr>
          <t>X</t>
        </r>
        <r>
          <rPr>
            <sz val="10"/>
            <color indexed="81"/>
            <rFont val="Tahoma"/>
            <family val="2"/>
          </rPr>
          <t>" pela não utilização de coeficientes de simultaneidade (Simultaneidade total).</t>
        </r>
      </text>
    </comment>
    <comment ref="F28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início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G28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fim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H28" authorId="0" shapeId="0" xr:uid="{00000000-0006-0000-0000-000019000000}">
      <text>
        <r>
          <rPr>
            <sz val="10"/>
            <color indexed="81"/>
            <rFont val="Tahoma"/>
            <family val="2"/>
          </rPr>
          <t xml:space="preserve">Introduzir o </t>
        </r>
        <r>
          <rPr>
            <b/>
            <sz val="10"/>
            <color indexed="81"/>
            <rFont val="Tahoma"/>
            <family val="2"/>
          </rPr>
          <t xml:space="preserve">número de fogos tipo 1 abastecidos </t>
        </r>
        <r>
          <rPr>
            <sz val="10"/>
            <color indexed="81"/>
            <rFont val="Tahoma"/>
            <family val="2"/>
          </rPr>
          <t>pelo troço em análise.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" authorId="0" shapeId="0" xr:uid="{00000000-0006-0000-0000-00001A000000}">
      <text>
        <r>
          <rPr>
            <sz val="10"/>
            <color indexed="81"/>
            <rFont val="Tahoma"/>
            <family val="2"/>
          </rPr>
          <t xml:space="preserve">Introduzir o </t>
        </r>
        <r>
          <rPr>
            <b/>
            <sz val="10"/>
            <color indexed="81"/>
            <rFont val="Tahoma"/>
            <family val="2"/>
          </rPr>
          <t xml:space="preserve">número de fogos tipo 2 abastecidos </t>
        </r>
        <r>
          <rPr>
            <sz val="10"/>
            <color indexed="81"/>
            <rFont val="Tahoma"/>
            <family val="2"/>
          </rPr>
          <t>pelo troço em análise.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8" authorId="0" shapeId="0" xr:uid="{00000000-0006-0000-0000-00001B000000}">
      <text>
        <r>
          <rPr>
            <sz val="9"/>
            <color indexed="81"/>
            <rFont val="Tahoma"/>
            <family val="2"/>
          </rPr>
          <t xml:space="preserve">Introduzir o comprimento do troço em análise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>).</t>
        </r>
      </text>
    </comment>
    <comment ref="K28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Introduzir o desnível do troço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vertAlign val="superscript"/>
            <sz val="10"/>
            <color indexed="81"/>
            <rFont val="Tahoma"/>
            <family val="2"/>
          </rPr>
          <t>2)</t>
        </r>
        <r>
          <rPr>
            <sz val="8"/>
            <color indexed="81"/>
            <rFont val="Tahoma"/>
            <family val="2"/>
          </rPr>
          <t xml:space="preserve"> O valor da altura ou desnível deve ser </t>
        </r>
        <r>
          <rPr>
            <b/>
            <sz val="8"/>
            <color indexed="81"/>
            <rFont val="Tahoma"/>
            <family val="2"/>
          </rPr>
          <t xml:space="preserve">positivo (+) se o troço for ascendente </t>
        </r>
        <r>
          <rPr>
            <sz val="8"/>
            <color indexed="81"/>
            <rFont val="Tahoma"/>
            <family val="2"/>
          </rPr>
          <t xml:space="preserve">e </t>
        </r>
        <r>
          <rPr>
            <b/>
            <sz val="8"/>
            <color indexed="81"/>
            <rFont val="Tahoma"/>
            <family val="2"/>
          </rPr>
          <t>negativo (-) se o troço for descendente</t>
        </r>
        <r>
          <rPr>
            <sz val="8"/>
            <color indexed="81"/>
            <rFont val="Tahoma"/>
            <family val="2"/>
          </rPr>
          <t>.</t>
        </r>
      </text>
    </comment>
    <comment ref="L28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Opcional:</t>
        </r>
        <r>
          <rPr>
            <sz val="9"/>
            <color indexed="81"/>
            <rFont val="Tahoma"/>
            <family val="2"/>
          </rPr>
          <t xml:space="preserve"> Introduzir as perdas de carga locais 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 referentes aos acessórios utilizados (ver </t>
        </r>
        <r>
          <rPr>
            <b/>
            <sz val="9"/>
            <color indexed="81"/>
            <rFont val="Tahoma"/>
            <family val="2"/>
          </rPr>
          <t>Quadro 4</t>
        </r>
        <r>
          <rPr>
            <sz val="9"/>
            <color indexed="81"/>
            <rFont val="Tahoma"/>
            <family val="2"/>
          </rPr>
          <t>).</t>
        </r>
      </text>
    </comment>
    <comment ref="U28" authorId="0" shapeId="0" xr:uid="{00000000-0006-0000-0000-00001E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diâmetro interior mínimo do troço em análise (em </t>
        </r>
        <r>
          <rPr>
            <b/>
            <sz val="9"/>
            <color indexed="81"/>
            <rFont val="Tahoma"/>
            <family val="2"/>
          </rPr>
          <t>milímetros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Após a imposição do diâmetro interior mínimo, são automaticamente seleccionados os </t>
        </r>
        <r>
          <rPr>
            <b/>
            <sz val="8"/>
            <color indexed="81"/>
            <rFont val="Tahoma"/>
            <family val="2"/>
          </rPr>
          <t xml:space="preserve">diâmetros normalizados interior, exterior e comercial </t>
        </r>
        <r>
          <rPr>
            <sz val="8"/>
            <color indexed="81"/>
            <rFont val="Tahoma"/>
            <family val="2"/>
          </rPr>
          <t>correspondentes (</t>
        </r>
        <r>
          <rPr>
            <b/>
            <sz val="8"/>
            <color indexed="81"/>
            <rFont val="Tahoma"/>
            <family val="2"/>
          </rPr>
          <t xml:space="preserve">ver </t>
        </r>
        <r>
          <rPr>
            <b/>
            <sz val="9"/>
            <color indexed="81"/>
            <rFont val="Tahoma"/>
            <family val="2"/>
          </rPr>
          <t>Quadro 3</t>
        </r>
        <r>
          <rPr>
            <sz val="8"/>
            <color indexed="81"/>
            <rFont val="Tahoma"/>
            <family val="2"/>
          </rPr>
          <t xml:space="preserve">). </t>
        </r>
      </text>
    </comment>
    <comment ref="AQ28" authorId="0" shapeId="0" xr:uid="{00000000-0006-0000-0000-00001F000000}">
      <text>
        <r>
          <rPr>
            <sz val="9"/>
            <color indexed="81"/>
            <rFont val="Tahoma"/>
            <family val="2"/>
          </rPr>
          <t xml:space="preserve">Indicar, </t>
        </r>
        <r>
          <rPr>
            <b/>
            <sz val="9"/>
            <color indexed="81"/>
            <rFont val="Tahoma"/>
            <family val="2"/>
          </rPr>
          <t>caso o troço em análise seja repetido noutras zonas da instalação não contabilizadadas neste dimensionamento</t>
        </r>
        <r>
          <rPr>
            <sz val="9"/>
            <color indexed="81"/>
            <rFont val="Tahoma"/>
            <family val="2"/>
          </rPr>
          <t xml:space="preserve">, o número de vezes que o troço está presente na instalação (frequência).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Esta indicação </t>
        </r>
        <r>
          <rPr>
            <b/>
            <sz val="8"/>
            <color indexed="81"/>
            <rFont val="Tahoma"/>
            <family val="2"/>
          </rPr>
          <t>não tem qualquer influencia no dimensionamento</t>
        </r>
        <r>
          <rPr>
            <sz val="8"/>
            <color indexed="81"/>
            <rFont val="Tahoma"/>
            <family val="2"/>
          </rPr>
          <t xml:space="preserve">, destina-se unicamente a estimar </t>
        </r>
        <r>
          <rPr>
            <b/>
            <sz val="8"/>
            <color indexed="81"/>
            <rFont val="Tahoma"/>
            <family val="2"/>
          </rPr>
          <t>com maior exactidão o consumo de tubos de aço</t>
        </r>
        <r>
          <rPr>
            <sz val="8"/>
            <color indexed="81"/>
            <rFont val="Tahoma"/>
            <family val="2"/>
          </rPr>
          <t xml:space="preserve"> (ver resumo de consumos em baixo).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Paulo Gomes</author>
    <author>Utilizador</author>
  </authors>
  <commentList>
    <comment ref="V5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O conceito de </t>
        </r>
        <r>
          <rPr>
            <b/>
            <sz val="9"/>
            <color indexed="81"/>
            <rFont val="Tahoma"/>
            <family val="2"/>
          </rPr>
          <t>Fogos tipo 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81"/>
            <rFont val="Tahoma"/>
            <family val="2"/>
          </rPr>
          <t>tipo 2</t>
        </r>
        <r>
          <rPr>
            <sz val="9"/>
            <color indexed="81"/>
            <rFont val="Tahoma"/>
            <family val="2"/>
          </rPr>
          <t xml:space="preserve">, refere-se ao conjunto e características dos Aparelhos a Gás que equipam um determinado fogo, isto é, qual </t>
        </r>
        <r>
          <rPr>
            <b/>
            <sz val="9"/>
            <color indexed="81"/>
            <rFont val="Tahoma"/>
            <family val="2"/>
          </rPr>
          <t>potência instalada nesse fogo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Tahoma"/>
            <family val="2"/>
          </rPr>
          <t>Por exemplo</t>
        </r>
        <r>
          <rPr>
            <sz val="9"/>
            <color indexed="81"/>
            <rFont val="Tahoma"/>
            <family val="2"/>
          </rPr>
          <t xml:space="preserve">, se todos os Fogos do edifício em análise possuem o mesmo tipo e quantidade de Aparelhos a Gás, então conclui-se que apenas existe um Fogo tipo, a ser designado como </t>
        </r>
        <r>
          <rPr>
            <b/>
            <sz val="9"/>
            <color indexed="81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.  
</t>
        </r>
        <r>
          <rPr>
            <b/>
            <sz val="8"/>
            <color indexed="81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esta folha de cálculo permite a análise directa de 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tipos de Fogo.</t>
        </r>
      </text>
    </comment>
    <comment ref="AF5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O conceito de </t>
        </r>
        <r>
          <rPr>
            <b/>
            <sz val="9"/>
            <color indexed="81"/>
            <rFont val="Tahoma"/>
            <family val="2"/>
          </rPr>
          <t>Fogos tipo 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81"/>
            <rFont val="Tahoma"/>
            <family val="2"/>
          </rPr>
          <t>tipo 2</t>
        </r>
        <r>
          <rPr>
            <sz val="9"/>
            <color indexed="81"/>
            <rFont val="Tahoma"/>
            <family val="2"/>
          </rPr>
          <t xml:space="preserve">, refere-se ao conjunto e características dos Aparelhos a Gás que equipam um determinado fogo, isto é, qual </t>
        </r>
        <r>
          <rPr>
            <b/>
            <sz val="9"/>
            <color indexed="81"/>
            <rFont val="Tahoma"/>
            <family val="2"/>
          </rPr>
          <t>potência instalada nesse fogo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Tahoma"/>
            <family val="2"/>
          </rPr>
          <t>Por exemplo</t>
        </r>
        <r>
          <rPr>
            <sz val="9"/>
            <color indexed="81"/>
            <rFont val="Tahoma"/>
            <family val="2"/>
          </rPr>
          <t xml:space="preserve">, se todos os Fogos do edifício em análise possuem o mesmo tipo e quantidade de Aparelhos a Gás, então conclui-se que apenas existe um Fogo tipo, a ser designado como </t>
        </r>
        <r>
          <rPr>
            <b/>
            <sz val="9"/>
            <color indexed="81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.  
</t>
        </r>
        <r>
          <rPr>
            <b/>
            <sz val="8"/>
            <color indexed="81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esta folha de cálculo permite a análise directa de 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tipos de Fogo.</t>
        </r>
      </text>
    </comment>
    <comment ref="H10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Pressão de Abastecimento</t>
        </r>
        <r>
          <rPr>
            <sz val="9"/>
            <color indexed="81"/>
            <rFont val="Tahoma"/>
            <family val="2"/>
          </rPr>
          <t xml:space="preserve"> (em </t>
        </r>
        <r>
          <rPr>
            <b/>
            <sz val="9"/>
            <color indexed="81"/>
            <rFont val="Tahoma"/>
            <family val="2"/>
          </rPr>
          <t>mbar</t>
        </r>
        <r>
          <rPr>
            <sz val="9"/>
            <color indexed="81"/>
            <rFont val="Tahoma"/>
            <family val="2"/>
          </rPr>
          <t xml:space="preserve">), no caso de pretender um valor diferente do proposto por defeito.
</t>
        </r>
      </text>
    </comment>
    <comment ref="H11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>Perda de Carga Admissível</t>
        </r>
        <r>
          <rPr>
            <sz val="9"/>
            <color indexed="81"/>
            <rFont val="Tahoma"/>
            <family val="2"/>
          </rPr>
          <t xml:space="preserve"> (em </t>
        </r>
        <r>
          <rPr>
            <b/>
            <sz val="9"/>
            <color indexed="81"/>
            <rFont val="Tahoma"/>
            <family val="2"/>
          </rPr>
          <t>mbar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H1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valor da </t>
        </r>
        <r>
          <rPr>
            <b/>
            <sz val="9"/>
            <color indexed="81"/>
            <rFont val="Tahoma"/>
            <family val="2"/>
          </rPr>
          <t xml:space="preserve">Velocidade de Escoamento Admissível </t>
        </r>
        <r>
          <rPr>
            <sz val="9"/>
            <color indexed="81"/>
            <rFont val="Tahoma"/>
            <family val="2"/>
          </rPr>
          <t xml:space="preserve">(em </t>
        </r>
        <r>
          <rPr>
            <b/>
            <sz val="9"/>
            <color indexed="81"/>
            <rFont val="Tahoma"/>
            <family val="2"/>
          </rPr>
          <t>m/s</t>
        </r>
        <r>
          <rPr>
            <sz val="9"/>
            <color indexed="81"/>
            <rFont val="Tahoma"/>
            <family val="2"/>
          </rPr>
          <t>), no caso de pretender um valor diferente do proposto por defeito.</t>
        </r>
      </text>
    </comment>
    <comment ref="D24" authorId="0" shapeId="0" xr:uid="{00000000-0006-0000-0100-000006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início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E24" authorId="0" shapeId="0" xr:uid="{00000000-0006-0000-0100-000007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fim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F24" authorId="0" shapeId="0" xr:uid="{00000000-0006-0000-0100-000008000000}">
      <text>
        <r>
          <rPr>
            <sz val="9"/>
            <color indexed="81"/>
            <rFont val="Tahoma"/>
            <family val="2"/>
          </rPr>
          <t xml:space="preserve">Especificar o tipo de Fogo que o troço em análise abastece ( </t>
        </r>
        <r>
          <rPr>
            <b/>
            <sz val="9"/>
            <color indexed="18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 xml:space="preserve"> ). </t>
        </r>
        <r>
          <rPr>
            <b/>
            <sz val="9"/>
            <color indexed="81"/>
            <rFont val="Tahoma"/>
            <family val="2"/>
          </rPr>
          <t>Por defeito</t>
        </r>
        <r>
          <rPr>
            <sz val="9"/>
            <color indexed="81"/>
            <rFont val="Tahoma"/>
            <family val="2"/>
          </rPr>
          <t xml:space="preserve"> assume que o </t>
        </r>
        <r>
          <rPr>
            <b/>
            <sz val="9"/>
            <color indexed="18"/>
            <rFont val="Tahoma"/>
            <family val="2"/>
          </rPr>
          <t>Fogo é do tipo 1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O conceito de Fogos tipo 1 ou 2, refere-se ao conjunto e características dos Aparelhos a Gás que equipam um determinado fogo, isto é, qual potência instalada nesse fogo (esta folha de cálculo prevê 2 tipos de Fogo). </t>
        </r>
      </text>
    </comment>
    <comment ref="M24" authorId="0" shapeId="0" xr:uid="{00000000-0006-0000-0100-000009000000}">
      <text>
        <r>
          <rPr>
            <sz val="9"/>
            <color indexed="81"/>
            <rFont val="Tahoma"/>
            <family val="2"/>
          </rPr>
          <t xml:space="preserve">Introduzir o comprimento do troço em análise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24" authorId="0" shapeId="0" xr:uid="{00000000-0006-0000-0100-00000A000000}">
      <text>
        <r>
          <rPr>
            <sz val="9"/>
            <color indexed="81"/>
            <rFont val="Tahoma"/>
            <family val="2"/>
          </rPr>
          <t xml:space="preserve">Introduzir o desnível do troço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vertAlign val="superscript"/>
            <sz val="10"/>
            <color indexed="81"/>
            <rFont val="Tahoma"/>
            <family val="2"/>
          </rPr>
          <t>2)</t>
        </r>
        <r>
          <rPr>
            <sz val="8"/>
            <color indexed="81"/>
            <rFont val="Tahoma"/>
            <family val="2"/>
          </rPr>
          <t xml:space="preserve"> O valor da altura ou desnível deve ser </t>
        </r>
        <r>
          <rPr>
            <b/>
            <sz val="8"/>
            <color indexed="81"/>
            <rFont val="Tahoma"/>
            <family val="2"/>
          </rPr>
          <t xml:space="preserve">positivo (+) se o troço for ascendente </t>
        </r>
        <r>
          <rPr>
            <sz val="8"/>
            <color indexed="81"/>
            <rFont val="Tahoma"/>
            <family val="2"/>
          </rPr>
          <t xml:space="preserve">e </t>
        </r>
        <r>
          <rPr>
            <b/>
            <sz val="8"/>
            <color indexed="81"/>
            <rFont val="Tahoma"/>
            <family val="2"/>
          </rPr>
          <t>negativo (-) se o troço for descendente</t>
        </r>
        <r>
          <rPr>
            <sz val="8"/>
            <color indexed="81"/>
            <rFont val="Tahoma"/>
            <family val="2"/>
          </rPr>
          <t>.</t>
        </r>
      </text>
    </comment>
    <comment ref="O24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Opcional:</t>
        </r>
        <r>
          <rPr>
            <sz val="9"/>
            <color indexed="81"/>
            <rFont val="Tahoma"/>
            <family val="2"/>
          </rPr>
          <t xml:space="preserve"> Introduzir as perdas de carga locais 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 referentes aos acessórios utilizados (ver </t>
        </r>
        <r>
          <rPr>
            <b/>
            <sz val="9"/>
            <color indexed="81"/>
            <rFont val="Tahoma"/>
            <family val="2"/>
          </rPr>
          <t>Quadro 4</t>
        </r>
        <r>
          <rPr>
            <sz val="9"/>
            <color indexed="81"/>
            <rFont val="Tahoma"/>
            <family val="2"/>
          </rPr>
          <t>).</t>
        </r>
      </text>
    </comment>
    <comment ref="T24" authorId="0" shapeId="0" xr:uid="{00000000-0006-0000-0100-00000C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diâmetro interior mínimo do troço em análise (em </t>
        </r>
        <r>
          <rPr>
            <b/>
            <sz val="9"/>
            <color indexed="81"/>
            <rFont val="Tahoma"/>
            <family val="2"/>
          </rPr>
          <t>milímetros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Após a imposição do diâmetro interior mínimo, são automaticamente seleccionados os </t>
        </r>
        <r>
          <rPr>
            <b/>
            <sz val="8"/>
            <color indexed="81"/>
            <rFont val="Tahoma"/>
            <family val="2"/>
          </rPr>
          <t xml:space="preserve">diâmetros normalizados interior, exterior e comercial </t>
        </r>
        <r>
          <rPr>
            <sz val="8"/>
            <color indexed="81"/>
            <rFont val="Tahoma"/>
            <family val="2"/>
          </rPr>
          <t>correspondentes (</t>
        </r>
        <r>
          <rPr>
            <b/>
            <sz val="8"/>
            <color indexed="81"/>
            <rFont val="Tahoma"/>
            <family val="2"/>
          </rPr>
          <t xml:space="preserve">ver </t>
        </r>
        <r>
          <rPr>
            <b/>
            <sz val="9"/>
            <color indexed="81"/>
            <rFont val="Tahoma"/>
            <family val="2"/>
          </rPr>
          <t>Quadro 3</t>
        </r>
        <r>
          <rPr>
            <sz val="8"/>
            <color indexed="81"/>
            <rFont val="Tahoma"/>
            <family val="2"/>
          </rPr>
          <t xml:space="preserve">). </t>
        </r>
      </text>
    </comment>
    <comment ref="G25" authorId="0" shapeId="0" xr:uid="{00000000-0006-0000-0100-00000D000000}">
      <text>
        <r>
          <rPr>
            <sz val="9"/>
            <color indexed="81"/>
            <rFont val="Tahoma"/>
            <family val="2"/>
          </rPr>
          <t xml:space="preserve">Especificar </t>
        </r>
        <r>
          <rPr>
            <b/>
            <sz val="9"/>
            <color indexed="81"/>
            <rFont val="Tahoma"/>
            <family val="2"/>
          </rPr>
          <t>unicamente</t>
        </r>
        <r>
          <rPr>
            <sz val="9"/>
            <color indexed="81"/>
            <rFont val="Tahoma"/>
            <family val="2"/>
          </rPr>
          <t xml:space="preserve"> nas situações em que o troço em análise abastece</t>
        </r>
        <r>
          <rPr>
            <b/>
            <sz val="9"/>
            <color indexed="81"/>
            <rFont val="Tahoma"/>
            <family val="2"/>
          </rPr>
          <t xml:space="preserve"> apenas 1 ou 2 Aparelhos a Gás</t>
        </r>
        <r>
          <rPr>
            <sz val="9"/>
            <color indexed="81"/>
            <rFont val="Tahoma"/>
            <family val="2"/>
          </rPr>
          <t xml:space="preserve">, qual o </t>
        </r>
        <r>
          <rPr>
            <b/>
            <sz val="9"/>
            <color indexed="81"/>
            <rFont val="Tahoma"/>
            <family val="2"/>
          </rPr>
          <t xml:space="preserve">único ou um dos dois </t>
        </r>
        <r>
          <rPr>
            <sz val="9"/>
            <color indexed="81"/>
            <rFont val="Tahoma"/>
            <family val="2"/>
          </rPr>
          <t xml:space="preserve">Aparelho(s) abastecido(s), utilizando a designação abreviada automática aplicável ao mesmo  ( </t>
        </r>
        <r>
          <rPr>
            <b/>
            <sz val="9"/>
            <color indexed="18"/>
            <rFont val="Tahoma"/>
            <family val="2"/>
          </rPr>
          <t>A1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18"/>
            <rFont val="Tahoma"/>
            <family val="2"/>
          </rPr>
          <t>A2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A3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A4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A5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) para os Aparelhos do</t>
        </r>
        <r>
          <rPr>
            <sz val="9"/>
            <color indexed="18"/>
            <rFont val="Tahoma"/>
            <family val="2"/>
          </rPr>
          <t xml:space="preserve"> </t>
        </r>
        <r>
          <rPr>
            <b/>
            <sz val="9"/>
            <color indexed="18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 ou ( </t>
        </r>
        <r>
          <rPr>
            <b/>
            <sz val="9"/>
            <color indexed="18"/>
            <rFont val="Tahoma"/>
            <family val="2"/>
          </rPr>
          <t>A6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A7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A8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A9</t>
        </r>
        <r>
          <rPr>
            <sz val="9"/>
            <color indexed="81"/>
            <rFont val="Tahoma"/>
            <family val="2"/>
          </rPr>
          <t xml:space="preserve"> ou</t>
        </r>
        <r>
          <rPr>
            <sz val="9"/>
            <color indexed="18"/>
            <rFont val="Tahoma"/>
            <family val="2"/>
          </rPr>
          <t xml:space="preserve"> </t>
        </r>
        <r>
          <rPr>
            <b/>
            <sz val="9"/>
            <color indexed="18"/>
            <rFont val="Tahoma"/>
            <family val="2"/>
          </rPr>
          <t>A10</t>
        </r>
        <r>
          <rPr>
            <sz val="9"/>
            <color indexed="81"/>
            <rFont val="Tahoma"/>
            <family val="2"/>
          </rPr>
          <t xml:space="preserve"> ) para os Aparelhos do </t>
        </r>
        <r>
          <rPr>
            <b/>
            <sz val="9"/>
            <color indexed="18"/>
            <rFont val="Tahoma"/>
            <family val="2"/>
          </rPr>
          <t>Fogo tipo 2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Por defeito</t>
        </r>
        <r>
          <rPr>
            <sz val="9"/>
            <color indexed="81"/>
            <rFont val="Tahoma"/>
            <family val="2"/>
          </rPr>
          <t xml:space="preserve">, assume a situação de o troço em análise abastecer </t>
        </r>
        <r>
          <rPr>
            <b/>
            <sz val="9"/>
            <color indexed="81"/>
            <rFont val="Tahoma"/>
            <family val="2"/>
          </rPr>
          <t>mais de 2 Aparelhos a Gás</t>
        </r>
        <r>
          <rPr>
            <sz val="9"/>
            <color indexed="81"/>
            <rFont val="Tahoma"/>
            <family val="2"/>
          </rPr>
          <t>, considerando automaticamente que o Caudal Máximo do troço (</t>
        </r>
        <r>
          <rPr>
            <b/>
            <sz val="9"/>
            <color indexed="81"/>
            <rFont val="Tahoma"/>
            <family val="2"/>
          </rPr>
          <t>Q</t>
        </r>
        <r>
          <rPr>
            <b/>
            <vertAlign val="subscript"/>
            <sz val="10"/>
            <color indexed="81"/>
            <rFont val="Tahoma"/>
            <family val="2"/>
          </rPr>
          <t>troço</t>
        </r>
        <r>
          <rPr>
            <sz val="9"/>
            <color indexed="81"/>
            <rFont val="Tahoma"/>
            <family val="2"/>
          </rPr>
          <t>) é igual ao Caudal do Fogo (</t>
        </r>
        <r>
          <rPr>
            <b/>
            <sz val="9"/>
            <color indexed="81"/>
            <rFont val="Tahoma"/>
            <family val="2"/>
          </rPr>
          <t>Q</t>
        </r>
        <r>
          <rPr>
            <b/>
            <vertAlign val="subscript"/>
            <sz val="10"/>
            <color indexed="81"/>
            <rFont val="Tahoma"/>
            <family val="2"/>
          </rPr>
          <t>fogo</t>
        </r>
        <r>
          <rPr>
            <sz val="9"/>
            <color indexed="81"/>
            <rFont val="Tahoma"/>
            <family val="2"/>
          </rPr>
          <t xml:space="preserve">). </t>
        </r>
      </text>
    </comment>
    <comment ref="H25" authorId="0" shapeId="0" xr:uid="{00000000-0006-0000-0100-00000E000000}">
      <text>
        <r>
          <rPr>
            <sz val="9"/>
            <color indexed="81"/>
            <rFont val="Tahoma"/>
            <family val="2"/>
          </rPr>
          <t xml:space="preserve">Especificar </t>
        </r>
        <r>
          <rPr>
            <b/>
            <sz val="9"/>
            <color indexed="81"/>
            <rFont val="Tahoma"/>
            <family val="2"/>
          </rPr>
          <t>unicamente</t>
        </r>
        <r>
          <rPr>
            <sz val="9"/>
            <color indexed="81"/>
            <rFont val="Tahoma"/>
            <family val="2"/>
          </rPr>
          <t xml:space="preserve"> na situação em que o troço em análise abastece</t>
        </r>
        <r>
          <rPr>
            <b/>
            <sz val="9"/>
            <color indexed="81"/>
            <rFont val="Tahoma"/>
            <family val="2"/>
          </rPr>
          <t xml:space="preserve"> 2 Aparelhos a Gás</t>
        </r>
        <r>
          <rPr>
            <sz val="9"/>
            <color indexed="81"/>
            <rFont val="Tahoma"/>
            <family val="2"/>
          </rPr>
          <t xml:space="preserve">, qual o </t>
        </r>
        <r>
          <rPr>
            <b/>
            <sz val="9"/>
            <color indexed="81"/>
            <rFont val="Tahoma"/>
            <family val="2"/>
          </rPr>
          <t xml:space="preserve">segundo dos dois </t>
        </r>
        <r>
          <rPr>
            <sz val="9"/>
            <color indexed="81"/>
            <rFont val="Tahoma"/>
            <family val="2"/>
          </rPr>
          <t xml:space="preserve">Aparelhos abastecidos, utilizando a designação abreviada automática aplicável ao mesmo  ( </t>
        </r>
        <r>
          <rPr>
            <b/>
            <sz val="9"/>
            <color indexed="18"/>
            <rFont val="Tahoma"/>
            <family val="2"/>
          </rPr>
          <t>A1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18"/>
            <rFont val="Tahoma"/>
            <family val="2"/>
          </rPr>
          <t>A2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A3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A4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A5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) para os Aparelhos do </t>
        </r>
        <r>
          <rPr>
            <b/>
            <sz val="9"/>
            <color indexed="18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 ou ( </t>
        </r>
        <r>
          <rPr>
            <b/>
            <sz val="9"/>
            <color indexed="18"/>
            <rFont val="Tahoma"/>
            <family val="2"/>
          </rPr>
          <t>A6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A7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A8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A9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A10</t>
        </r>
        <r>
          <rPr>
            <sz val="9"/>
            <color indexed="81"/>
            <rFont val="Tahoma"/>
            <family val="2"/>
          </rPr>
          <t xml:space="preserve"> ) para os Aparelhos do </t>
        </r>
        <r>
          <rPr>
            <b/>
            <sz val="9"/>
            <color indexed="18"/>
            <rFont val="Tahoma"/>
            <family val="2"/>
          </rPr>
          <t>Fogo tipo 2</t>
        </r>
        <r>
          <rPr>
            <sz val="9"/>
            <color indexed="81"/>
            <rFont val="Tahoma"/>
            <family val="2"/>
          </rPr>
          <t>.</t>
        </r>
      </text>
    </comment>
    <comment ref="D46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início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E46" authorId="0" shapeId="0" xr:uid="{00000000-0006-0000-0100-000010000000}">
      <text>
        <r>
          <rPr>
            <sz val="9"/>
            <color indexed="81"/>
            <rFont val="Tahoma"/>
            <family val="2"/>
          </rPr>
          <t xml:space="preserve">Introduzir o código identificativo (letra ou número) </t>
        </r>
        <r>
          <rPr>
            <b/>
            <sz val="9"/>
            <color indexed="81"/>
            <rFont val="Tahoma"/>
            <family val="2"/>
          </rPr>
          <t xml:space="preserve">do fim do troço </t>
        </r>
        <r>
          <rPr>
            <sz val="9"/>
            <color indexed="81"/>
            <rFont val="Tahoma"/>
            <family val="2"/>
          </rPr>
          <t>em análise.</t>
        </r>
      </text>
    </comment>
    <comment ref="F46" authorId="0" shapeId="0" xr:uid="{00000000-0006-0000-0100-000011000000}">
      <text>
        <r>
          <rPr>
            <sz val="9"/>
            <color indexed="81"/>
            <rFont val="Tahoma"/>
            <family val="2"/>
          </rPr>
          <t xml:space="preserve">Especificar o tipo de Fogo que o troço em análise abastece ( </t>
        </r>
        <r>
          <rPr>
            <b/>
            <sz val="9"/>
            <color indexed="18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 xml:space="preserve"> ). </t>
        </r>
        <r>
          <rPr>
            <b/>
            <sz val="9"/>
            <color indexed="81"/>
            <rFont val="Tahoma"/>
            <family val="2"/>
          </rPr>
          <t>Por defeito</t>
        </r>
        <r>
          <rPr>
            <sz val="9"/>
            <color indexed="81"/>
            <rFont val="Tahoma"/>
            <family val="2"/>
          </rPr>
          <t xml:space="preserve"> assume que o </t>
        </r>
        <r>
          <rPr>
            <b/>
            <sz val="9"/>
            <color indexed="18"/>
            <rFont val="Tahoma"/>
            <family val="2"/>
          </rPr>
          <t>Fogo é do tipo 1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O conceito de Fogos tipo 1 ou 2, refere-se ao conjunto e características dos Aparelhos a Gás que equipam um determinado fogo, isto é, qual potência instalada nesse fogo (esta folha de cálculo prevê 2 tipos de Fogo). </t>
        </r>
      </text>
    </comment>
    <comment ref="G46" authorId="0" shapeId="0" xr:uid="{00000000-0006-0000-0100-000012000000}">
      <text>
        <r>
          <rPr>
            <sz val="9"/>
            <color indexed="81"/>
            <rFont val="Tahoma"/>
            <family val="2"/>
          </rPr>
          <t xml:space="preserve">Especificar </t>
        </r>
        <r>
          <rPr>
            <b/>
            <sz val="9"/>
            <color indexed="81"/>
            <rFont val="Tahoma"/>
            <family val="2"/>
          </rPr>
          <t>unicamente</t>
        </r>
        <r>
          <rPr>
            <sz val="9"/>
            <color indexed="81"/>
            <rFont val="Tahoma"/>
            <family val="2"/>
          </rPr>
          <t xml:space="preserve"> nas situações em que o troço em análise abastece</t>
        </r>
        <r>
          <rPr>
            <b/>
            <sz val="9"/>
            <color indexed="81"/>
            <rFont val="Tahoma"/>
            <family val="2"/>
          </rPr>
          <t xml:space="preserve"> apenas 1 ou 2 Aparelhos a Gás</t>
        </r>
        <r>
          <rPr>
            <sz val="9"/>
            <color indexed="81"/>
            <rFont val="Tahoma"/>
            <family val="2"/>
          </rPr>
          <t xml:space="preserve">, qual o </t>
        </r>
        <r>
          <rPr>
            <b/>
            <sz val="9"/>
            <color indexed="81"/>
            <rFont val="Tahoma"/>
            <family val="2"/>
          </rPr>
          <t xml:space="preserve">único ou um dos dois </t>
        </r>
        <r>
          <rPr>
            <sz val="9"/>
            <color indexed="81"/>
            <rFont val="Tahoma"/>
            <family val="2"/>
          </rPr>
          <t xml:space="preserve">Aparelho(s) abastecido(s), utilizando a designação abreviada automática aplicável ao mesmo  ( </t>
        </r>
        <r>
          <rPr>
            <b/>
            <sz val="9"/>
            <color indexed="18"/>
            <rFont val="Tahoma"/>
            <family val="2"/>
          </rPr>
          <t>A1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18"/>
            <rFont val="Tahoma"/>
            <family val="2"/>
          </rPr>
          <t>A2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A3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A4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A5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) para os Aparelhos do </t>
        </r>
        <r>
          <rPr>
            <b/>
            <sz val="9"/>
            <color indexed="18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 ou (</t>
        </r>
        <r>
          <rPr>
            <sz val="9"/>
            <color indexed="18"/>
            <rFont val="Tahoma"/>
            <family val="2"/>
          </rPr>
          <t xml:space="preserve"> </t>
        </r>
        <r>
          <rPr>
            <b/>
            <sz val="9"/>
            <color indexed="18"/>
            <rFont val="Tahoma"/>
            <family val="2"/>
          </rPr>
          <t>A6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A7</t>
        </r>
        <r>
          <rPr>
            <sz val="9"/>
            <color indexed="81"/>
            <rFont val="Tahoma"/>
            <family val="2"/>
          </rPr>
          <t xml:space="preserve"> ,</t>
        </r>
        <r>
          <rPr>
            <sz val="9"/>
            <color indexed="18"/>
            <rFont val="Tahoma"/>
            <family val="2"/>
          </rPr>
          <t xml:space="preserve"> </t>
        </r>
        <r>
          <rPr>
            <b/>
            <sz val="9"/>
            <color indexed="18"/>
            <rFont val="Tahoma"/>
            <family val="2"/>
          </rPr>
          <t>A8</t>
        </r>
        <r>
          <rPr>
            <sz val="9"/>
            <color indexed="81"/>
            <rFont val="Tahoma"/>
            <family val="2"/>
          </rPr>
          <t xml:space="preserve"> ,</t>
        </r>
        <r>
          <rPr>
            <sz val="9"/>
            <color indexed="18"/>
            <rFont val="Tahoma"/>
            <family val="2"/>
          </rPr>
          <t xml:space="preserve"> </t>
        </r>
        <r>
          <rPr>
            <b/>
            <sz val="9"/>
            <color indexed="18"/>
            <rFont val="Tahoma"/>
            <family val="2"/>
          </rPr>
          <t>A9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A10</t>
        </r>
        <r>
          <rPr>
            <sz val="9"/>
            <color indexed="81"/>
            <rFont val="Tahoma"/>
            <family val="2"/>
          </rPr>
          <t xml:space="preserve"> ) para os Aparelhos do </t>
        </r>
        <r>
          <rPr>
            <b/>
            <sz val="9"/>
            <color indexed="18"/>
            <rFont val="Tahoma"/>
            <family val="2"/>
          </rPr>
          <t>Fogo tipo 2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Por defeito</t>
        </r>
        <r>
          <rPr>
            <sz val="9"/>
            <color indexed="81"/>
            <rFont val="Tahoma"/>
            <family val="2"/>
          </rPr>
          <t xml:space="preserve">, assume a situação de o troço em análise abastecer </t>
        </r>
        <r>
          <rPr>
            <b/>
            <sz val="9"/>
            <color indexed="81"/>
            <rFont val="Tahoma"/>
            <family val="2"/>
          </rPr>
          <t>mais de 2 Aparelhos a Gás</t>
        </r>
        <r>
          <rPr>
            <sz val="9"/>
            <color indexed="81"/>
            <rFont val="Tahoma"/>
            <family val="2"/>
          </rPr>
          <t>, considerando automaticamente que o Caudal Máximo do troço (</t>
        </r>
        <r>
          <rPr>
            <b/>
            <sz val="9"/>
            <color indexed="81"/>
            <rFont val="Tahoma"/>
            <family val="2"/>
          </rPr>
          <t>Q</t>
        </r>
        <r>
          <rPr>
            <b/>
            <vertAlign val="subscript"/>
            <sz val="10"/>
            <color indexed="81"/>
            <rFont val="Tahoma"/>
            <family val="2"/>
          </rPr>
          <t>troço</t>
        </r>
        <r>
          <rPr>
            <sz val="9"/>
            <color indexed="81"/>
            <rFont val="Tahoma"/>
            <family val="2"/>
          </rPr>
          <t>) é igual ao Caudal do Fogo (</t>
        </r>
        <r>
          <rPr>
            <b/>
            <sz val="9"/>
            <color indexed="81"/>
            <rFont val="Tahoma"/>
            <family val="2"/>
          </rPr>
          <t>Q</t>
        </r>
        <r>
          <rPr>
            <b/>
            <vertAlign val="subscript"/>
            <sz val="10"/>
            <color indexed="81"/>
            <rFont val="Tahoma"/>
            <family val="2"/>
          </rPr>
          <t>fogo</t>
        </r>
        <r>
          <rPr>
            <sz val="9"/>
            <color indexed="81"/>
            <rFont val="Tahoma"/>
            <family val="2"/>
          </rPr>
          <t xml:space="preserve">). </t>
        </r>
      </text>
    </comment>
    <comment ref="H46" authorId="0" shapeId="0" xr:uid="{00000000-0006-0000-0100-000013000000}">
      <text>
        <r>
          <rPr>
            <sz val="9"/>
            <color indexed="81"/>
            <rFont val="Tahoma"/>
            <family val="2"/>
          </rPr>
          <t xml:space="preserve">Especificar </t>
        </r>
        <r>
          <rPr>
            <b/>
            <sz val="9"/>
            <color indexed="81"/>
            <rFont val="Tahoma"/>
            <family val="2"/>
          </rPr>
          <t>unicamente</t>
        </r>
        <r>
          <rPr>
            <sz val="9"/>
            <color indexed="81"/>
            <rFont val="Tahoma"/>
            <family val="2"/>
          </rPr>
          <t xml:space="preserve"> na situação em que o troço em análise abastece</t>
        </r>
        <r>
          <rPr>
            <b/>
            <sz val="9"/>
            <color indexed="81"/>
            <rFont val="Tahoma"/>
            <family val="2"/>
          </rPr>
          <t xml:space="preserve"> 2 Aparelhos a Gás</t>
        </r>
        <r>
          <rPr>
            <sz val="9"/>
            <color indexed="81"/>
            <rFont val="Tahoma"/>
            <family val="2"/>
          </rPr>
          <t xml:space="preserve">, qual o </t>
        </r>
        <r>
          <rPr>
            <b/>
            <sz val="9"/>
            <color indexed="81"/>
            <rFont val="Tahoma"/>
            <family val="2"/>
          </rPr>
          <t xml:space="preserve">segundo dos dois </t>
        </r>
        <r>
          <rPr>
            <sz val="9"/>
            <color indexed="81"/>
            <rFont val="Tahoma"/>
            <family val="2"/>
          </rPr>
          <t xml:space="preserve">Aparelhos abastecidos, utilizando a designação abreviada automática aplicável ao mesmo  ( </t>
        </r>
        <r>
          <rPr>
            <b/>
            <sz val="9"/>
            <color indexed="18"/>
            <rFont val="Tahoma"/>
            <family val="2"/>
          </rPr>
          <t>A1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18"/>
            <rFont val="Tahoma"/>
            <family val="2"/>
          </rPr>
          <t>A2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A3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A4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A5</t>
        </r>
        <r>
          <rPr>
            <b/>
            <sz val="9"/>
            <color indexed="20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) para os Aparelhos do </t>
        </r>
        <r>
          <rPr>
            <b/>
            <sz val="9"/>
            <color indexed="18"/>
            <rFont val="Tahoma"/>
            <family val="2"/>
          </rPr>
          <t>Fogo tipo 1</t>
        </r>
        <r>
          <rPr>
            <sz val="9"/>
            <color indexed="81"/>
            <rFont val="Tahoma"/>
            <family val="2"/>
          </rPr>
          <t xml:space="preserve"> ou ( </t>
        </r>
        <r>
          <rPr>
            <b/>
            <sz val="9"/>
            <color indexed="18"/>
            <rFont val="Tahoma"/>
            <family val="2"/>
          </rPr>
          <t>A6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A7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A8</t>
        </r>
        <r>
          <rPr>
            <sz val="9"/>
            <color indexed="81"/>
            <rFont val="Tahoma"/>
            <family val="2"/>
          </rPr>
          <t xml:space="preserve"> , </t>
        </r>
        <r>
          <rPr>
            <b/>
            <sz val="9"/>
            <color indexed="18"/>
            <rFont val="Tahoma"/>
            <family val="2"/>
          </rPr>
          <t>A9</t>
        </r>
        <r>
          <rPr>
            <sz val="9"/>
            <color indexed="81"/>
            <rFont val="Tahoma"/>
            <family val="2"/>
          </rPr>
          <t xml:space="preserve"> ou </t>
        </r>
        <r>
          <rPr>
            <b/>
            <sz val="9"/>
            <color indexed="18"/>
            <rFont val="Tahoma"/>
            <family val="2"/>
          </rPr>
          <t>A10</t>
        </r>
        <r>
          <rPr>
            <sz val="9"/>
            <color indexed="81"/>
            <rFont val="Tahoma"/>
            <family val="2"/>
          </rPr>
          <t xml:space="preserve"> ) para os Aparelhos do </t>
        </r>
        <r>
          <rPr>
            <b/>
            <sz val="9"/>
            <color indexed="18"/>
            <rFont val="Tahoma"/>
            <family val="2"/>
          </rPr>
          <t>Fogo tipo 2</t>
        </r>
        <r>
          <rPr>
            <sz val="9"/>
            <color indexed="81"/>
            <rFont val="Tahoma"/>
            <family val="2"/>
          </rPr>
          <t>.</t>
        </r>
      </text>
    </comment>
    <comment ref="M46" authorId="0" shapeId="0" xr:uid="{00000000-0006-0000-0100-000014000000}">
      <text>
        <r>
          <rPr>
            <sz val="9"/>
            <color indexed="81"/>
            <rFont val="Tahoma"/>
            <family val="2"/>
          </rPr>
          <t xml:space="preserve">Introduzir o comprimento do troço em análise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6" authorId="0" shapeId="0" xr:uid="{00000000-0006-0000-0100-000015000000}">
      <text>
        <r>
          <rPr>
            <sz val="9"/>
            <color indexed="81"/>
            <rFont val="Tahoma"/>
            <family val="2"/>
          </rPr>
          <t xml:space="preserve">Introduzir o desnível do troço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vertAlign val="superscript"/>
            <sz val="10"/>
            <color indexed="81"/>
            <rFont val="Tahoma"/>
            <family val="2"/>
          </rPr>
          <t>2)</t>
        </r>
        <r>
          <rPr>
            <sz val="8"/>
            <color indexed="81"/>
            <rFont val="Tahoma"/>
            <family val="2"/>
          </rPr>
          <t xml:space="preserve"> O valor da altura ou desnível deve ser </t>
        </r>
        <r>
          <rPr>
            <b/>
            <sz val="8"/>
            <color indexed="81"/>
            <rFont val="Tahoma"/>
            <family val="2"/>
          </rPr>
          <t xml:space="preserve">positivo (+) se o troço for ascendente </t>
        </r>
        <r>
          <rPr>
            <sz val="8"/>
            <color indexed="81"/>
            <rFont val="Tahoma"/>
            <family val="2"/>
          </rPr>
          <t xml:space="preserve">e </t>
        </r>
        <r>
          <rPr>
            <b/>
            <sz val="8"/>
            <color indexed="81"/>
            <rFont val="Tahoma"/>
            <family val="2"/>
          </rPr>
          <t>negativo (-) se o troço for descendente</t>
        </r>
        <r>
          <rPr>
            <sz val="8"/>
            <color indexed="81"/>
            <rFont val="Tahoma"/>
            <family val="2"/>
          </rPr>
          <t>.</t>
        </r>
      </text>
    </comment>
    <comment ref="O46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Opcional:</t>
        </r>
        <r>
          <rPr>
            <sz val="9"/>
            <color indexed="81"/>
            <rFont val="Tahoma"/>
            <family val="2"/>
          </rPr>
          <t xml:space="preserve"> Introduzir as perdas de carga locais  (em </t>
        </r>
        <r>
          <rPr>
            <b/>
            <sz val="9"/>
            <color indexed="81"/>
            <rFont val="Tahoma"/>
            <family val="2"/>
          </rPr>
          <t>metros</t>
        </r>
        <r>
          <rPr>
            <sz val="9"/>
            <color indexed="81"/>
            <rFont val="Tahoma"/>
            <family val="2"/>
          </rPr>
          <t xml:space="preserve">) referentes aos acessórios utilizados (ver </t>
        </r>
        <r>
          <rPr>
            <b/>
            <sz val="9"/>
            <color indexed="81"/>
            <rFont val="Tahoma"/>
            <family val="2"/>
          </rPr>
          <t>Quadro 4</t>
        </r>
        <r>
          <rPr>
            <sz val="9"/>
            <color indexed="81"/>
            <rFont val="Tahoma"/>
            <family val="2"/>
          </rPr>
          <t>).</t>
        </r>
      </text>
    </comment>
    <comment ref="T46" authorId="0" shapeId="0" xr:uid="{00000000-0006-0000-0100-000017000000}">
      <text>
        <r>
          <rPr>
            <sz val="9"/>
            <color indexed="81"/>
            <rFont val="Tahoma"/>
            <family val="2"/>
          </rPr>
          <t xml:space="preserve">Impor, </t>
        </r>
        <r>
          <rPr>
            <b/>
            <sz val="9"/>
            <color indexed="81"/>
            <rFont val="Tahoma"/>
            <family val="2"/>
          </rPr>
          <t>se necessário</t>
        </r>
        <r>
          <rPr>
            <sz val="9"/>
            <color indexed="81"/>
            <rFont val="Tahoma"/>
            <family val="2"/>
          </rPr>
          <t xml:space="preserve">, o diâmetro interior mínimo do troço em análise (em </t>
        </r>
        <r>
          <rPr>
            <b/>
            <sz val="9"/>
            <color indexed="81"/>
            <rFont val="Tahoma"/>
            <family val="2"/>
          </rPr>
          <t>milímetros</t>
        </r>
        <r>
          <rPr>
            <sz val="9"/>
            <color indexed="81"/>
            <rFont val="Tahoma"/>
            <family val="2"/>
          </rPr>
          <t xml:space="preserve">).
</t>
        </r>
        <r>
          <rPr>
            <b/>
            <sz val="8"/>
            <color indexed="81"/>
            <rFont val="Tahoma"/>
            <family val="2"/>
          </rPr>
          <t>Nota</t>
        </r>
        <r>
          <rPr>
            <sz val="8"/>
            <color indexed="81"/>
            <rFont val="Tahoma"/>
            <family val="2"/>
          </rPr>
          <t xml:space="preserve">: Após a imposição do diâmetro interior mínimo, são automaticamente seleccionados os </t>
        </r>
        <r>
          <rPr>
            <b/>
            <sz val="8"/>
            <color indexed="81"/>
            <rFont val="Tahoma"/>
            <family val="2"/>
          </rPr>
          <t xml:space="preserve">diâmetros normalizados interior, exterior e comercial </t>
        </r>
        <r>
          <rPr>
            <sz val="8"/>
            <color indexed="81"/>
            <rFont val="Tahoma"/>
            <family val="2"/>
          </rPr>
          <t>correspondentes (</t>
        </r>
        <r>
          <rPr>
            <b/>
            <sz val="8"/>
            <color indexed="81"/>
            <rFont val="Tahoma"/>
            <family val="2"/>
          </rPr>
          <t xml:space="preserve">ver </t>
        </r>
        <r>
          <rPr>
            <b/>
            <sz val="9"/>
            <color indexed="81"/>
            <rFont val="Tahoma"/>
            <family val="2"/>
          </rPr>
          <t>Quadro 3</t>
        </r>
        <r>
          <rPr>
            <sz val="8"/>
            <color indexed="81"/>
            <rFont val="Tahoma"/>
            <family val="2"/>
          </rPr>
          <t xml:space="preserve">). </t>
        </r>
      </text>
    </comment>
    <comment ref="AH64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Sistema de Canalização em conformidade com o especificado no Regulamento de Gás para Edifícios</t>
        </r>
        <r>
          <rPr>
            <sz val="9"/>
            <color indexed="81"/>
            <rFont val="Tahoma"/>
            <family val="2"/>
          </rPr>
          <t xml:space="preserve"> (Artigos 7.º, 13.º e 48.º da Portaria 361/98 actualizada pela Portaria 690/2001).</t>
        </r>
      </text>
    </comment>
    <comment ref="Z69" authorId="0" shapeId="0" xr:uid="{00000000-0006-0000-0100-000019000000}">
      <text>
        <r>
          <rPr>
            <sz val="10"/>
            <color indexed="81"/>
            <rFont val="Tahoma"/>
            <family val="2"/>
          </rPr>
          <t xml:space="preserve">
</t>
        </r>
      </text>
    </comment>
    <comment ref="R70" authorId="0" shapeId="0" xr:uid="{00000000-0006-0000-0100-00001A000000}">
      <text>
        <r>
          <rPr>
            <sz val="9"/>
            <color indexed="81"/>
            <rFont val="Tahoma"/>
            <family val="2"/>
          </rPr>
          <t xml:space="preserve">Caso tenha utilizado para o dimensionamento a 1ª Instalação Individual </t>
        </r>
        <r>
          <rPr>
            <b/>
            <sz val="9"/>
            <color indexed="81"/>
            <rFont val="Tahoma"/>
            <family val="2"/>
          </rPr>
          <t>conjuntamente</t>
        </r>
        <r>
          <rPr>
            <sz val="9"/>
            <color indexed="81"/>
            <rFont val="Tahoma"/>
            <family val="2"/>
          </rPr>
          <t xml:space="preserve"> com a 2ª Instalação Individual,</t>
        </r>
        <r>
          <rPr>
            <b/>
            <sz val="9"/>
            <color indexed="81"/>
            <rFont val="Tahoma"/>
            <family val="2"/>
          </rPr>
          <t xml:space="preserve"> indique o nº total de fogos correspondentes à 1ª Instalação Individual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b/>
            <sz val="8"/>
            <color indexed="81"/>
            <rFont val="Tahoma"/>
            <family val="2"/>
          </rPr>
          <t>Nota1:</t>
        </r>
        <r>
          <rPr>
            <sz val="8"/>
            <color indexed="81"/>
            <rFont val="Tahoma"/>
            <family val="2"/>
          </rPr>
          <t xml:space="preserve"> deste modo especifica-se, dentro do conjunto de fogos que constituem o edifício, o nº de fogos correspondentes às </t>
        </r>
        <r>
          <rPr>
            <b/>
            <sz val="8"/>
            <color indexed="81"/>
            <rFont val="Tahoma"/>
            <family val="2"/>
          </rPr>
          <t xml:space="preserve">1ª </t>
        </r>
        <r>
          <rPr>
            <sz val="8"/>
            <color indexed="81"/>
            <rFont val="Tahoma"/>
            <family val="2"/>
          </rPr>
          <t xml:space="preserve">e </t>
        </r>
        <r>
          <rPr>
            <b/>
            <sz val="8"/>
            <color indexed="81"/>
            <rFont val="Tahoma"/>
            <family val="2"/>
          </rPr>
          <t>2ª Instalações Individuais</t>
        </r>
        <r>
          <rPr>
            <sz val="8"/>
            <color indexed="81"/>
            <rFont val="Tahoma"/>
            <family val="2"/>
          </rPr>
          <t xml:space="preserve"> e respectivos </t>
        </r>
        <r>
          <rPr>
            <b/>
            <sz val="8"/>
            <color indexed="81"/>
            <rFont val="Tahoma"/>
            <family val="2"/>
          </rPr>
          <t>consumos de tubos de aço.</t>
        </r>
        <r>
          <rPr>
            <b/>
            <sz val="9"/>
            <color indexed="81"/>
            <rFont val="Tahoma"/>
            <family val="2"/>
          </rPr>
          <t xml:space="preserve">
Por defeito</t>
        </r>
        <r>
          <rPr>
            <sz val="9"/>
            <color indexed="81"/>
            <rFont val="Tahoma"/>
            <family val="2"/>
          </rPr>
          <t xml:space="preserve">, selecciona automaticamente a instalação </t>
        </r>
        <r>
          <rPr>
            <b/>
            <sz val="9"/>
            <color indexed="81"/>
            <rFont val="Tahoma"/>
            <family val="2"/>
          </rPr>
          <t xml:space="preserve">mais crítica </t>
        </r>
        <r>
          <rPr>
            <sz val="9"/>
            <color indexed="81"/>
            <rFont val="Tahoma"/>
            <family val="2"/>
          </rPr>
          <t>(com maior comprimento de tubagem), para efectuar</t>
        </r>
        <r>
          <rPr>
            <b/>
            <sz val="9"/>
            <color indexed="81"/>
            <rFont val="Tahoma"/>
            <family val="2"/>
          </rPr>
          <t xml:space="preserve"> uma estimativa de consumo por excesso.
</t>
        </r>
        <r>
          <rPr>
            <b/>
            <sz val="8"/>
            <color indexed="81"/>
            <rFont val="Tahoma"/>
            <family val="2"/>
          </rPr>
          <t xml:space="preserve">Nota2: </t>
        </r>
        <r>
          <rPr>
            <sz val="8"/>
            <color indexed="81"/>
            <rFont val="Tahoma"/>
            <family val="2"/>
          </rPr>
          <t xml:space="preserve">Caso o projecto a dimensionar possua mais que duas Instalações Individuais (caracterizadas por troços de tubagem com diferentes comprimentos), </t>
        </r>
        <r>
          <rPr>
            <b/>
            <sz val="8"/>
            <color indexed="81"/>
            <rFont val="Tahoma"/>
            <family val="2"/>
          </rPr>
          <t>implica que estimativa de consumo seja sempre efectuada por excesso</t>
        </r>
        <r>
          <rPr>
            <sz val="8"/>
            <color indexed="81"/>
            <rFont val="Tahoma"/>
            <family val="2"/>
          </rPr>
          <t xml:space="preserve">, pelo facto de o dimensionamento </t>
        </r>
        <r>
          <rPr>
            <b/>
            <sz val="8"/>
            <color indexed="81"/>
            <rFont val="Tahoma"/>
            <family val="2"/>
          </rPr>
          <t>prever no máximo a análise de 2 instalações individuais</t>
        </r>
        <r>
          <rPr>
            <sz val="8"/>
            <color indexed="81"/>
            <rFont val="Tahoma"/>
            <family val="2"/>
          </rPr>
          <t>, pelo que serão estas que servirão de base à estimativa de consumos.</t>
        </r>
      </text>
    </comment>
  </commentList>
</comments>
</file>

<file path=xl/sharedStrings.xml><?xml version="1.0" encoding="utf-8"?>
<sst xmlns="http://schemas.openxmlformats.org/spreadsheetml/2006/main" count="1276" uniqueCount="516">
  <si>
    <t>(mm)</t>
  </si>
  <si>
    <t>Diâmetro Exterior</t>
  </si>
  <si>
    <t>Máx.</t>
  </si>
  <si>
    <t>Min.</t>
  </si>
  <si>
    <t>Nominal</t>
  </si>
  <si>
    <t>DN   10</t>
  </si>
  <si>
    <t>DN   15</t>
  </si>
  <si>
    <t>DN   20</t>
  </si>
  <si>
    <t>DN   25</t>
  </si>
  <si>
    <t>DN   32</t>
  </si>
  <si>
    <t>DN   40</t>
  </si>
  <si>
    <t>DN   50</t>
  </si>
  <si>
    <t>DN   65</t>
  </si>
  <si>
    <t>DN   80</t>
  </si>
  <si>
    <t>DN 100</t>
  </si>
  <si>
    <t>DN 125</t>
  </si>
  <si>
    <t>DN 150</t>
  </si>
  <si>
    <t>S</t>
  </si>
  <si>
    <t>N</t>
  </si>
  <si>
    <t>D</t>
  </si>
  <si>
    <t>A1</t>
  </si>
  <si>
    <t>A4</t>
  </si>
  <si>
    <t>Espessura</t>
  </si>
  <si>
    <t>Interior</t>
  </si>
  <si>
    <t>Diâm.</t>
  </si>
  <si>
    <t>Especificações  Técnicas</t>
  </si>
  <si>
    <t>mm</t>
  </si>
  <si>
    <t>m</t>
  </si>
  <si>
    <t>Forno Independente</t>
  </si>
  <si>
    <t>Lareira a Gás</t>
  </si>
  <si>
    <t>N.º de Fogos</t>
  </si>
  <si>
    <t>S - Factor de simultaneidade</t>
  </si>
  <si>
    <t>4 - 5</t>
  </si>
  <si>
    <t>10 - 14</t>
  </si>
  <si>
    <t>19 - 39</t>
  </si>
  <si>
    <t>S/ Aq. Ambiente</t>
  </si>
  <si>
    <t>C/ Aq. Ambiente</t>
  </si>
  <si>
    <t>J</t>
  </si>
  <si>
    <t>Real</t>
  </si>
  <si>
    <t>Equiv.</t>
  </si>
  <si>
    <t>Inicial</t>
  </si>
  <si>
    <t>Final</t>
  </si>
  <si>
    <t>Caudal</t>
  </si>
  <si>
    <t>3.2</t>
  </si>
  <si>
    <t>n.º</t>
  </si>
  <si>
    <t>acumul.</t>
  </si>
  <si>
    <t>troço</t>
  </si>
  <si>
    <t>Fin.Corr.</t>
  </si>
  <si>
    <t>avaliação</t>
  </si>
  <si>
    <t>&gt; 100</t>
  </si>
  <si>
    <t>Velocidade</t>
  </si>
  <si>
    <t>Máximo</t>
  </si>
  <si>
    <t>Altura</t>
  </si>
  <si>
    <r>
      <t>P</t>
    </r>
    <r>
      <rPr>
        <b/>
        <vertAlign val="subscript"/>
        <sz val="10"/>
        <rFont val="Arial"/>
        <family val="2"/>
      </rPr>
      <t>nom.</t>
    </r>
  </si>
  <si>
    <r>
      <t>Q</t>
    </r>
    <r>
      <rPr>
        <b/>
        <vertAlign val="subscript"/>
        <sz val="10"/>
        <rFont val="Arial"/>
        <family val="2"/>
      </rPr>
      <t>aparelho</t>
    </r>
  </si>
  <si>
    <t>kW</t>
  </si>
  <si>
    <t>mbar</t>
  </si>
  <si>
    <t>Exterior</t>
  </si>
  <si>
    <t>Comercial</t>
  </si>
  <si>
    <t>Cálculo</t>
  </si>
  <si>
    <t>m/s</t>
  </si>
  <si>
    <t>Tipo</t>
  </si>
  <si>
    <t>Fim</t>
  </si>
  <si>
    <t>Início</t>
  </si>
  <si>
    <r>
      <t>Q</t>
    </r>
    <r>
      <rPr>
        <b/>
        <vertAlign val="subscript"/>
        <sz val="10"/>
        <rFont val="Arial"/>
        <family val="2"/>
      </rPr>
      <t>troço</t>
    </r>
    <r>
      <rPr>
        <sz val="11"/>
        <rFont val="Arial"/>
        <family val="2"/>
      </rPr>
      <t/>
    </r>
  </si>
  <si>
    <r>
      <t>L</t>
    </r>
    <r>
      <rPr>
        <b/>
        <vertAlign val="subscript"/>
        <sz val="10"/>
        <rFont val="Arial"/>
        <family val="2"/>
      </rPr>
      <t>real</t>
    </r>
  </si>
  <si>
    <r>
      <t>L</t>
    </r>
    <r>
      <rPr>
        <b/>
        <vertAlign val="subscript"/>
        <sz val="10"/>
        <rFont val="Arial"/>
        <family val="2"/>
      </rPr>
      <t>eq</t>
    </r>
  </si>
  <si>
    <t>h</t>
  </si>
  <si>
    <t>Tubo</t>
  </si>
  <si>
    <r>
      <t>D</t>
    </r>
    <r>
      <rPr>
        <b/>
        <vertAlign val="subscript"/>
        <sz val="10"/>
        <rFont val="Arial"/>
        <family val="2"/>
      </rPr>
      <t>cálculo</t>
    </r>
  </si>
  <si>
    <r>
      <t>D</t>
    </r>
    <r>
      <rPr>
        <b/>
        <vertAlign val="subscript"/>
        <sz val="12"/>
        <rFont val="Arial"/>
        <family val="2"/>
      </rPr>
      <t>i</t>
    </r>
  </si>
  <si>
    <t>ΔP</t>
  </si>
  <si>
    <t>Diâmetros da Tubagem</t>
  </si>
  <si>
    <t>Nº Fogos</t>
  </si>
  <si>
    <t>Material</t>
  </si>
  <si>
    <t>Codificação</t>
  </si>
  <si>
    <t>dos Troços</t>
  </si>
  <si>
    <t>Pressões Instaladas</t>
  </si>
  <si>
    <t>2.1</t>
  </si>
  <si>
    <t>P.C.I.</t>
  </si>
  <si>
    <r>
      <t>d</t>
    </r>
    <r>
      <rPr>
        <b/>
        <vertAlign val="subscript"/>
        <sz val="10"/>
        <rFont val="Arial"/>
        <family val="2"/>
      </rPr>
      <t>r</t>
    </r>
  </si>
  <si>
    <r>
      <t>d</t>
    </r>
    <r>
      <rPr>
        <b/>
        <vertAlign val="subscript"/>
        <sz val="10"/>
        <rFont val="Arial"/>
        <family val="2"/>
      </rPr>
      <t>c</t>
    </r>
  </si>
  <si>
    <t>n</t>
  </si>
  <si>
    <t>1.1</t>
  </si>
  <si>
    <t>1.2</t>
  </si>
  <si>
    <t>1.3</t>
  </si>
  <si>
    <t>1.6</t>
  </si>
  <si>
    <t>Potência</t>
  </si>
  <si>
    <t>Standard</t>
  </si>
  <si>
    <t>1.9</t>
  </si>
  <si>
    <t>7.2</t>
  </si>
  <si>
    <t>1.7</t>
  </si>
  <si>
    <t>2.3</t>
  </si>
  <si>
    <t>3.1</t>
  </si>
  <si>
    <t>3.3</t>
  </si>
  <si>
    <r>
      <t>L</t>
    </r>
    <r>
      <rPr>
        <b/>
        <vertAlign val="subscript"/>
        <sz val="10"/>
        <rFont val="Arial"/>
        <family val="2"/>
      </rPr>
      <t>crítico</t>
    </r>
  </si>
  <si>
    <r>
      <t>L</t>
    </r>
    <r>
      <rPr>
        <b/>
        <vertAlign val="subscript"/>
        <sz val="10"/>
        <rFont val="Arial"/>
        <family val="2"/>
      </rPr>
      <t>eq.máx.</t>
    </r>
  </si>
  <si>
    <t>4.1</t>
  </si>
  <si>
    <t>4.2</t>
  </si>
  <si>
    <t>6.1</t>
  </si>
  <si>
    <t>6.2</t>
  </si>
  <si>
    <t>8.1</t>
  </si>
  <si>
    <t>8.2</t>
  </si>
  <si>
    <t>8.3</t>
  </si>
  <si>
    <t>9.1</t>
  </si>
  <si>
    <t>9.4</t>
  </si>
  <si>
    <t>9.5</t>
  </si>
  <si>
    <t>10.1</t>
  </si>
  <si>
    <t>10.2</t>
  </si>
  <si>
    <t>1.5 (Quadro 1)</t>
  </si>
  <si>
    <r>
      <t>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(st)/h</t>
    </r>
  </si>
  <si>
    <t>Factor</t>
  </si>
  <si>
    <t>Densidade relativa</t>
  </si>
  <si>
    <t>Densidade corrigida</t>
  </si>
  <si>
    <t>7.3</t>
  </si>
  <si>
    <t>0.2</t>
  </si>
  <si>
    <t>6.3</t>
  </si>
  <si>
    <t>8.4</t>
  </si>
  <si>
    <t>8.5</t>
  </si>
  <si>
    <t>9.6</t>
  </si>
  <si>
    <t>9.7</t>
  </si>
  <si>
    <t>9.8</t>
  </si>
  <si>
    <t>10.3</t>
  </si>
  <si>
    <t>5.3</t>
  </si>
  <si>
    <t>Fogo Tipo</t>
  </si>
  <si>
    <t>tipos 1 , 2</t>
  </si>
  <si>
    <t>A2</t>
  </si>
  <si>
    <t>A3</t>
  </si>
  <si>
    <t>A5</t>
  </si>
  <si>
    <t>A6</t>
  </si>
  <si>
    <t>A7</t>
  </si>
  <si>
    <t>A8</t>
  </si>
  <si>
    <t>A9</t>
  </si>
  <si>
    <t>A10</t>
  </si>
  <si>
    <t>Nó antecedente</t>
  </si>
  <si>
    <t>Troço</t>
  </si>
  <si>
    <t>Nó Final</t>
  </si>
  <si>
    <t>(m)</t>
  </si>
  <si>
    <t>Nó Inicial</t>
  </si>
  <si>
    <t>1.4 (Quadro 1)</t>
  </si>
  <si>
    <t>Poder Calor. Inferior</t>
  </si>
  <si>
    <t>Quadro 2. - Ordenado</t>
  </si>
  <si>
    <t>Imposto</t>
  </si>
  <si>
    <t>Ref.ª</t>
  </si>
  <si>
    <t>Descrição:</t>
  </si>
  <si>
    <t>Data:</t>
  </si>
  <si>
    <t>"N"</t>
  </si>
  <si>
    <t>Fases</t>
  </si>
  <si>
    <t>Descrição da fase</t>
  </si>
  <si>
    <t>N.º</t>
  </si>
  <si>
    <t>Característica</t>
  </si>
  <si>
    <t>Simbologia</t>
  </si>
  <si>
    <t>Unidades</t>
  </si>
  <si>
    <t>Valor / Fórmula / Observações</t>
  </si>
  <si>
    <t>Codificar ou numerar sequêncialmente, a partir de cada Contador inclusivé, todos os Nós e Válvulas de Corte dos Aparelhos.</t>
  </si>
  <si>
    <t>0.1</t>
  </si>
  <si>
    <t>Nó de uma tubagem</t>
  </si>
  <si>
    <t>Ex. A, B, C, etc.</t>
  </si>
  <si>
    <r>
      <t>Definir os diversos "</t>
    </r>
    <r>
      <rPr>
        <b/>
        <sz val="9"/>
        <rFont val="Arial"/>
        <family val="2"/>
      </rPr>
      <t>n</t>
    </r>
    <r>
      <rPr>
        <sz val="9"/>
        <rFont val="Arial"/>
        <family val="2"/>
      </rPr>
      <t>" troços de tubagem de cada instalação, em consequência da codificação anterior.</t>
    </r>
  </si>
  <si>
    <t>N.º de troços de tubagem</t>
  </si>
  <si>
    <t>(Gás Natural)</t>
  </si>
  <si>
    <t>1.4</t>
  </si>
  <si>
    <r>
      <t xml:space="preserve">Se possível, consultar catálogos dos aparelhos, senão consultar </t>
    </r>
    <r>
      <rPr>
        <b/>
        <sz val="9"/>
        <rFont val="Arial"/>
        <family val="2"/>
      </rPr>
      <t>Quadro 1</t>
    </r>
    <r>
      <rPr>
        <sz val="9"/>
        <rFont val="Arial"/>
        <family val="2"/>
      </rPr>
      <t>.</t>
    </r>
  </si>
  <si>
    <t>1.5</t>
  </si>
  <si>
    <r>
      <t>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(st)/h</t>
    </r>
  </si>
  <si>
    <r>
      <t>Q</t>
    </r>
    <r>
      <rPr>
        <b/>
        <vertAlign val="subscript"/>
        <sz val="10"/>
        <rFont val="Arial"/>
        <family val="2"/>
      </rPr>
      <t>1</t>
    </r>
    <r>
      <rPr>
        <sz val="11"/>
        <rFont val="Arial"/>
        <family val="2"/>
      </rPr>
      <t/>
    </r>
  </si>
  <si>
    <r>
      <t>Q</t>
    </r>
    <r>
      <rPr>
        <b/>
        <vertAlign val="subscript"/>
        <sz val="10"/>
        <rFont val="Arial"/>
        <family val="2"/>
      </rPr>
      <t>2</t>
    </r>
  </si>
  <si>
    <t>1.8</t>
  </si>
  <si>
    <r>
      <t>Soma dos caudais dos restantes "</t>
    </r>
    <r>
      <rPr>
        <b/>
        <sz val="9"/>
        <rFont val="Arial"/>
        <family val="2"/>
      </rPr>
      <t>i</t>
    </r>
    <r>
      <rPr>
        <sz val="9"/>
        <rFont val="Arial"/>
        <family val="2"/>
      </rPr>
      <t>" aparelhos (caso existam).</t>
    </r>
  </si>
  <si>
    <r>
      <t>S</t>
    </r>
    <r>
      <rPr>
        <b/>
        <sz val="10"/>
        <rFont val="Arial"/>
        <family val="2"/>
      </rPr>
      <t>Q</t>
    </r>
    <r>
      <rPr>
        <b/>
        <vertAlign val="subscript"/>
        <sz val="10"/>
        <rFont val="Arial"/>
        <family val="2"/>
      </rPr>
      <t>i</t>
    </r>
  </si>
  <si>
    <t xml:space="preserve">Determinar o caudal de cada fogo, como a soma dos caudais dos dois aparelhos mais potentes com a semi-soma dos restantes:  </t>
  </si>
  <si>
    <t>Caudal de cada fogo</t>
  </si>
  <si>
    <r>
      <t>Q</t>
    </r>
    <r>
      <rPr>
        <b/>
        <vertAlign val="subscript"/>
        <sz val="10"/>
        <rFont val="Arial"/>
        <family val="2"/>
      </rPr>
      <t>fogo</t>
    </r>
    <r>
      <rPr>
        <sz val="11"/>
        <rFont val="Arial"/>
        <family val="2"/>
      </rPr>
      <t/>
    </r>
  </si>
  <si>
    <r>
      <t xml:space="preserve">O valor de potência nominal de um fogo deve ser sempre </t>
    </r>
    <r>
      <rPr>
        <b/>
        <sz val="9"/>
        <rFont val="Arial"/>
        <family val="2"/>
      </rPr>
      <t>igual ou superior a 30 kW (Correspondente a um Q</t>
    </r>
    <r>
      <rPr>
        <b/>
        <vertAlign val="subscript"/>
        <sz val="9"/>
        <rFont val="Arial"/>
        <family val="2"/>
      </rPr>
      <t>fogo</t>
    </r>
    <r>
      <rPr>
        <b/>
        <sz val="9"/>
        <rFont val="Arial"/>
        <family val="2"/>
      </rPr>
      <t xml:space="preserve">  ≥ 3,01 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(st)/h ).</t>
    </r>
  </si>
  <si>
    <r>
      <t xml:space="preserve">Consultar </t>
    </r>
    <r>
      <rPr>
        <b/>
        <sz val="9"/>
        <rFont val="Arial"/>
        <family val="2"/>
      </rPr>
      <t>Desenho da Instalação</t>
    </r>
    <r>
      <rPr>
        <sz val="9"/>
        <rFont val="Arial"/>
        <family val="2"/>
      </rPr>
      <t>.</t>
    </r>
  </si>
  <si>
    <r>
      <t xml:space="preserve">Para troços que abastecem </t>
    </r>
    <r>
      <rPr>
        <b/>
        <sz val="9"/>
        <rFont val="Arial"/>
        <family val="2"/>
      </rPr>
      <t>Um</t>
    </r>
    <r>
      <rPr>
        <sz val="9"/>
        <rFont val="Arial"/>
        <family val="2"/>
      </rPr>
      <t xml:space="preserve"> aparelho de queima no interior de uma instalação individual de utilização (fogo): </t>
    </r>
    <r>
      <rPr>
        <b/>
        <sz val="9"/>
        <rFont val="Arial"/>
        <family val="2"/>
      </rPr>
      <t>Q</t>
    </r>
    <r>
      <rPr>
        <b/>
        <vertAlign val="subscript"/>
        <sz val="11"/>
        <rFont val="Arial"/>
        <family val="2"/>
      </rPr>
      <t>troço</t>
    </r>
    <r>
      <rPr>
        <b/>
        <sz val="9"/>
        <rFont val="Arial"/>
        <family val="2"/>
      </rPr>
      <t xml:space="preserve"> = Q</t>
    </r>
    <r>
      <rPr>
        <b/>
        <vertAlign val="subscript"/>
        <sz val="11"/>
        <rFont val="Arial"/>
        <family val="2"/>
      </rPr>
      <t>aparelho</t>
    </r>
    <r>
      <rPr>
        <sz val="9"/>
        <rFont val="Arial"/>
        <family val="2"/>
      </rPr>
      <t>.</t>
    </r>
  </si>
  <si>
    <t>2.4</t>
  </si>
  <si>
    <r>
      <t xml:space="preserve">Para troços que abastecem </t>
    </r>
    <r>
      <rPr>
        <b/>
        <sz val="9"/>
        <rFont val="Arial"/>
        <family val="2"/>
      </rPr>
      <t>Dois</t>
    </r>
    <r>
      <rPr>
        <sz val="9"/>
        <rFont val="Arial"/>
        <family val="2"/>
      </rPr>
      <t xml:space="preserve"> aparelhos de queima no interior de uma instalação individual de utilização (fogo): </t>
    </r>
    <r>
      <rPr>
        <b/>
        <sz val="9"/>
        <rFont val="Arial"/>
        <family val="2"/>
      </rPr>
      <t>Q</t>
    </r>
    <r>
      <rPr>
        <b/>
        <vertAlign val="subscript"/>
        <sz val="11"/>
        <rFont val="Arial"/>
        <family val="2"/>
      </rPr>
      <t>troço</t>
    </r>
    <r>
      <rPr>
        <b/>
        <sz val="9"/>
        <rFont val="Arial"/>
        <family val="2"/>
      </rPr>
      <t xml:space="preserve"> = </t>
    </r>
    <r>
      <rPr>
        <b/>
        <sz val="9"/>
        <rFont val="Symbol"/>
        <family val="1"/>
        <charset val="2"/>
      </rPr>
      <t>S</t>
    </r>
    <r>
      <rPr>
        <b/>
        <sz val="9"/>
        <rFont val="Arial"/>
        <family val="2"/>
      </rPr>
      <t>Q</t>
    </r>
    <r>
      <rPr>
        <b/>
        <vertAlign val="subscript"/>
        <sz val="11"/>
        <rFont val="Arial"/>
        <family val="2"/>
      </rPr>
      <t xml:space="preserve"> aparelhos abastecidos</t>
    </r>
    <r>
      <rPr>
        <sz val="9"/>
        <rFont val="Arial"/>
        <family val="2"/>
      </rPr>
      <t>.</t>
    </r>
  </si>
  <si>
    <t>2.5</t>
  </si>
  <si>
    <t>Os aparelhos A e B, são os dois aparelhos abastecidos pelo troço em causa.</t>
  </si>
  <si>
    <r>
      <t xml:space="preserve">Para troços que abastecem </t>
    </r>
    <r>
      <rPr>
        <b/>
        <sz val="9"/>
        <rFont val="Arial"/>
        <family val="2"/>
      </rPr>
      <t>Três ou Mais</t>
    </r>
    <r>
      <rPr>
        <sz val="9"/>
        <rFont val="Arial"/>
        <family val="2"/>
      </rPr>
      <t xml:space="preserve"> aparelhos de queima no interior de uma instalação individual de utilização (fogo): </t>
    </r>
    <r>
      <rPr>
        <b/>
        <sz val="9"/>
        <rFont val="Arial"/>
        <family val="2"/>
      </rPr>
      <t>Q</t>
    </r>
    <r>
      <rPr>
        <b/>
        <vertAlign val="subscript"/>
        <sz val="11"/>
        <rFont val="Arial"/>
        <family val="2"/>
      </rPr>
      <t>troço</t>
    </r>
    <r>
      <rPr>
        <b/>
        <sz val="9"/>
        <rFont val="Arial"/>
        <family val="2"/>
      </rPr>
      <t xml:space="preserve"> = Q</t>
    </r>
    <r>
      <rPr>
        <b/>
        <vertAlign val="subscript"/>
        <sz val="11"/>
        <rFont val="Arial"/>
        <family val="2"/>
      </rPr>
      <t>fogo</t>
    </r>
    <r>
      <rPr>
        <sz val="9"/>
        <rFont val="Arial"/>
        <family val="2"/>
      </rPr>
      <t>.</t>
    </r>
  </si>
  <si>
    <t>2.6</t>
  </si>
  <si>
    <t>Imputar a cada troço da instalação o respectivo comprimento e desnível:</t>
  </si>
  <si>
    <t>Comprimento do troço</t>
  </si>
  <si>
    <t>Desnível do troço</t>
  </si>
  <si>
    <t>Determinar o comprimento equivalente de cada troço:</t>
  </si>
  <si>
    <t>mbar / m</t>
  </si>
  <si>
    <t>v</t>
  </si>
  <si>
    <r>
      <t xml:space="preserve">Consultar </t>
    </r>
    <r>
      <rPr>
        <b/>
        <sz val="9"/>
        <rFont val="Arial"/>
        <family val="2"/>
      </rPr>
      <t>Quadro 3</t>
    </r>
    <r>
      <rPr>
        <sz val="9"/>
        <rFont val="Arial"/>
        <family val="2"/>
      </rPr>
      <t>, caso seja necessário subir um escalão no valor do diâmetro interior normalizado do tubo de aço de um determinado troço.</t>
    </r>
  </si>
  <si>
    <t>Referências Bibliográficas: Manual Técnico de Instalações de Gás da Galp Energia, Manual do Curso de Projectistas de Redes de Gás do I.T.G. e Manual do Instalador da APTA.</t>
  </si>
  <si>
    <t>Codificar ou numerar sequêncialmente, a partir da Caixa de Entrada do Edifício inclusivé, todos os Nós e Redutores de Pressão da instalação.</t>
  </si>
  <si>
    <r>
      <t>Definir os diversos "</t>
    </r>
    <r>
      <rPr>
        <b/>
        <sz val="9"/>
        <rFont val="Arial"/>
        <family val="2"/>
      </rPr>
      <t>n</t>
    </r>
    <r>
      <rPr>
        <sz val="9"/>
        <rFont val="Arial"/>
        <family val="2"/>
      </rPr>
      <t>" troços de tubagem, em consequência da codificação anterior.</t>
    </r>
  </si>
  <si>
    <t>N.º de troços de uma instalação</t>
  </si>
  <si>
    <t>Nº de fogos alimentados por um troço</t>
  </si>
  <si>
    <t>2.2</t>
  </si>
  <si>
    <t xml:space="preserve">S </t>
  </si>
  <si>
    <r>
      <t xml:space="preserve">Consultar </t>
    </r>
    <r>
      <rPr>
        <b/>
        <sz val="9"/>
        <rFont val="Arial"/>
        <family val="2"/>
      </rPr>
      <t>Quadro 2</t>
    </r>
    <r>
      <rPr>
        <sz val="9"/>
        <rFont val="Arial"/>
        <family val="2"/>
      </rPr>
      <t>.</t>
    </r>
  </si>
  <si>
    <t>5.1</t>
  </si>
  <si>
    <t>5.2</t>
  </si>
  <si>
    <t>7.1</t>
  </si>
  <si>
    <r>
      <t>Esta análise deverá começar pelo primeiro troço, situado imediatamente a jusante da caixa de entrada do edifício, e assim sucessivamente ao longo dos diversos "</t>
    </r>
    <r>
      <rPr>
        <b/>
        <sz val="9"/>
        <rFont val="Arial"/>
        <family val="2"/>
      </rPr>
      <t>n</t>
    </r>
    <r>
      <rPr>
        <sz val="9"/>
        <rFont val="Arial"/>
        <family val="2"/>
      </rPr>
      <t>" troços situados a jusante.</t>
    </r>
  </si>
  <si>
    <t>9.2</t>
  </si>
  <si>
    <t>9.3</t>
  </si>
  <si>
    <t>Aparelhos a Gás</t>
  </si>
  <si>
    <r>
      <t>O desnível "</t>
    </r>
    <r>
      <rPr>
        <b/>
        <sz val="9"/>
        <rFont val="Arial"/>
        <family val="2"/>
      </rPr>
      <t>h</t>
    </r>
    <r>
      <rPr>
        <sz val="9"/>
        <rFont val="Arial"/>
        <family val="2"/>
      </rPr>
      <t xml:space="preserve">" </t>
    </r>
    <r>
      <rPr>
        <sz val="9"/>
        <rFont val="Arial"/>
        <family val="2"/>
      </rPr>
      <t>deverá</t>
    </r>
    <r>
      <rPr>
        <b/>
        <sz val="9"/>
        <rFont val="Arial"/>
        <family val="2"/>
      </rPr>
      <t xml:space="preserve"> ser considerado positivo se o troço for ascendente e negativo se o troço for descendente.</t>
    </r>
  </si>
  <si>
    <t>(3c)</t>
  </si>
  <si>
    <t>(3d)</t>
  </si>
  <si>
    <t>Fogão com Forno</t>
  </si>
  <si>
    <t>Placa de Encastrar</t>
  </si>
  <si>
    <t>Esquentador 10 ou 11 l</t>
  </si>
  <si>
    <t>Esquentador 13 ou 14 l</t>
  </si>
  <si>
    <t>Caldeira Mural 20.000 kcal/h</t>
  </si>
  <si>
    <t>Caldeira Mural 24.000 kcal/h</t>
  </si>
  <si>
    <t>Termoconvector a Gás</t>
  </si>
  <si>
    <t>Secador de Roupa a Gás</t>
  </si>
  <si>
    <r>
      <t>Perdas de Carga (</t>
    </r>
    <r>
      <rPr>
        <b/>
        <sz val="11"/>
        <color indexed="9"/>
        <rFont val="Symbol"/>
        <family val="1"/>
        <charset val="2"/>
      </rPr>
      <t>D</t>
    </r>
    <r>
      <rPr>
        <b/>
        <sz val="11"/>
        <color indexed="9"/>
        <rFont val="Arial"/>
        <family val="2"/>
      </rPr>
      <t>P)</t>
    </r>
  </si>
  <si>
    <t>Conclusão:</t>
  </si>
  <si>
    <t>Q1 =</t>
  </si>
  <si>
    <t>Q2 =</t>
  </si>
  <si>
    <t>Análise Q1</t>
  </si>
  <si>
    <t>Análise Q2</t>
  </si>
  <si>
    <t>Fogo Tipo 1:</t>
  </si>
  <si>
    <t>Fogo Tipo 2:</t>
  </si>
  <si>
    <t>Q1+Q2 =</t>
  </si>
  <si>
    <t>soma Qi/2 =</t>
  </si>
  <si>
    <t>Qfogo</t>
  </si>
  <si>
    <t>Explicitação automática de todos os caminhos, incluindo o crítico:</t>
  </si>
  <si>
    <t>Determinação do Caminho Crítico</t>
  </si>
  <si>
    <t>Comprimento máximo</t>
  </si>
  <si>
    <t>Explicitação automática das alturas piezométricas de todos os caminhos, incluindo o crítico:</t>
  </si>
  <si>
    <t>Cota piezométrica máxima</t>
  </si>
  <si>
    <t>Trajecto Crítico</t>
  </si>
  <si>
    <t>Máx. Cota Piez.</t>
  </si>
  <si>
    <t>Comprim. + Cota Piez.</t>
  </si>
  <si>
    <t>2º Critério</t>
  </si>
  <si>
    <t>Total:</t>
  </si>
  <si>
    <t>1º Critério</t>
  </si>
  <si>
    <t>Resumo da sequência de nós, do final para o inicío.</t>
  </si>
  <si>
    <t>Pressão Inicial</t>
  </si>
  <si>
    <t>Máxima Pressão Inicial</t>
  </si>
  <si>
    <r>
      <t>mbar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/m</t>
    </r>
  </si>
  <si>
    <t>:Pressão Inicial</t>
  </si>
  <si>
    <t>Valor Minímo:</t>
  </si>
  <si>
    <t>DN</t>
  </si>
  <si>
    <r>
      <t>L</t>
    </r>
    <r>
      <rPr>
        <b/>
        <vertAlign val="subscript"/>
        <sz val="10"/>
        <rFont val="Arial"/>
        <family val="2"/>
      </rPr>
      <t>Total</t>
    </r>
  </si>
  <si>
    <t>Ordenação Automática</t>
  </si>
  <si>
    <t>R</t>
  </si>
  <si>
    <t>Consumos: Comprimentos por Dimensão do Tubo</t>
  </si>
  <si>
    <t>DN 15</t>
  </si>
  <si>
    <t>DN 20</t>
  </si>
  <si>
    <t>DN 25</t>
  </si>
  <si>
    <t>DN 32</t>
  </si>
  <si>
    <t>DN 40</t>
  </si>
  <si>
    <t>DN 50</t>
  </si>
  <si>
    <t>Diâmetro Interior</t>
  </si>
  <si>
    <t>Consumo Total (m)</t>
  </si>
  <si>
    <t>Localização automática do NÓ inicial, para atribuição da Pressão Inicial e segurança de repetição do ponto INICIAL</t>
  </si>
  <si>
    <t>2ª Instalação Individual - Consumos</t>
  </si>
  <si>
    <t>1ª Instalação Individual - Consumos</t>
  </si>
  <si>
    <t>Global</t>
  </si>
  <si>
    <r>
      <t>L</t>
    </r>
    <r>
      <rPr>
        <b/>
        <vertAlign val="subscript"/>
        <sz val="10"/>
        <rFont val="Arial"/>
        <family val="2"/>
      </rPr>
      <t xml:space="preserve">total </t>
    </r>
    <r>
      <rPr>
        <b/>
        <sz val="10"/>
        <rFont val="Arial"/>
        <family val="2"/>
      </rPr>
      <t>BP</t>
    </r>
  </si>
  <si>
    <r>
      <t>L</t>
    </r>
    <r>
      <rPr>
        <b/>
        <vertAlign val="subscript"/>
        <sz val="10"/>
        <rFont val="Arial"/>
        <family val="2"/>
      </rPr>
      <t xml:space="preserve">total </t>
    </r>
    <r>
      <rPr>
        <b/>
        <sz val="10"/>
        <rFont val="Arial"/>
        <family val="2"/>
      </rPr>
      <t>MP</t>
    </r>
  </si>
  <si>
    <t>Instalação Global MP+BP - Consumos</t>
  </si>
  <si>
    <t xml:space="preserve">kPa </t>
  </si>
  <si>
    <t>bar</t>
  </si>
  <si>
    <t>atm</t>
  </si>
  <si>
    <t>psi</t>
  </si>
  <si>
    <t xml:space="preserve"> kPa </t>
  </si>
  <si>
    <t>=&gt;</t>
  </si>
  <si>
    <t>-</t>
  </si>
  <si>
    <t xml:space="preserve"> bar </t>
  </si>
  <si>
    <t xml:space="preserve"> atm</t>
  </si>
  <si>
    <t xml:space="preserve"> psi </t>
  </si>
  <si>
    <t>Freq.</t>
  </si>
  <si>
    <t>Adoptada</t>
  </si>
  <si>
    <t>Folha de Cálculo de distribuição gratuíta. Para efeitos legais, declinamos qualquer responsabilidade sobre os resultados obtidos.</t>
  </si>
  <si>
    <t>Verificação da existência de 1 único ponto inicial</t>
  </si>
  <si>
    <r>
      <t>kcal/m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(n)</t>
    </r>
  </si>
  <si>
    <r>
      <t>d</t>
    </r>
    <r>
      <rPr>
        <vertAlign val="subscript"/>
        <sz val="10"/>
        <rFont val="Arial"/>
        <family val="2"/>
      </rPr>
      <t>r</t>
    </r>
  </si>
  <si>
    <r>
      <t>d</t>
    </r>
    <r>
      <rPr>
        <vertAlign val="subscript"/>
        <sz val="10"/>
        <rFont val="Arial"/>
        <family val="2"/>
      </rPr>
      <t>c</t>
    </r>
  </si>
  <si>
    <r>
      <t>P</t>
    </r>
    <r>
      <rPr>
        <vertAlign val="subscript"/>
        <sz val="10"/>
        <rFont val="Arial"/>
        <family val="2"/>
      </rPr>
      <t>nom.</t>
    </r>
  </si>
  <si>
    <r>
      <t>Q</t>
    </r>
    <r>
      <rPr>
        <vertAlign val="subscript"/>
        <sz val="10"/>
        <rFont val="Arial"/>
        <family val="2"/>
      </rPr>
      <t>aparelho</t>
    </r>
  </si>
  <si>
    <t>Quadro 2 - Factor de simultaneidade "S"</t>
  </si>
  <si>
    <t>kgf/cm2</t>
  </si>
  <si>
    <r>
      <t xml:space="preserve"> kgf/cm</t>
    </r>
    <r>
      <rPr>
        <vertAlign val="superscript"/>
        <sz val="11"/>
        <color indexed="9"/>
        <rFont val="Arial"/>
        <family val="2"/>
      </rPr>
      <t>2</t>
    </r>
    <r>
      <rPr>
        <sz val="11"/>
        <color indexed="9"/>
        <rFont val="Arial"/>
        <family val="2"/>
      </rPr>
      <t xml:space="preserve"> </t>
    </r>
  </si>
  <si>
    <t>(GPL-Propano)</t>
  </si>
  <si>
    <t>(Gás Cidade)</t>
  </si>
  <si>
    <r>
      <t>v</t>
    </r>
    <r>
      <rPr>
        <b/>
        <vertAlign val="subscript"/>
        <sz val="10"/>
        <rFont val="Arial"/>
        <family val="2"/>
      </rPr>
      <t>Adm.</t>
    </r>
  </si>
  <si>
    <r>
      <t>V</t>
    </r>
    <r>
      <rPr>
        <b/>
        <vertAlign val="subscript"/>
        <sz val="10"/>
        <rFont val="Arial"/>
        <family val="2"/>
      </rPr>
      <t>Adm.</t>
    </r>
  </si>
  <si>
    <r>
      <t>ΔP</t>
    </r>
    <r>
      <rPr>
        <b/>
        <vertAlign val="subscript"/>
        <sz val="10"/>
        <rFont val="Arial"/>
        <family val="2"/>
      </rPr>
      <t>acumul.</t>
    </r>
  </si>
  <si>
    <r>
      <t>P</t>
    </r>
    <r>
      <rPr>
        <vertAlign val="subscript"/>
        <sz val="12"/>
        <rFont val="Arial"/>
        <family val="2"/>
      </rPr>
      <t>fc</t>
    </r>
  </si>
  <si>
    <r>
      <t>P</t>
    </r>
    <r>
      <rPr>
        <vertAlign val="subscript"/>
        <sz val="12"/>
        <rFont val="Arial"/>
        <family val="2"/>
      </rPr>
      <t>f</t>
    </r>
  </si>
  <si>
    <r>
      <t>P</t>
    </r>
    <r>
      <rPr>
        <vertAlign val="subscript"/>
        <sz val="12"/>
        <rFont val="Arial"/>
        <family val="2"/>
      </rPr>
      <t>i</t>
    </r>
  </si>
  <si>
    <r>
      <t xml:space="preserve">  A pressão final de um troço (</t>
    </r>
    <r>
      <rPr>
        <b/>
        <sz val="10"/>
        <rFont val="Arial"/>
        <family val="2"/>
      </rPr>
      <t>P</t>
    </r>
    <r>
      <rPr>
        <vertAlign val="subscript"/>
        <sz val="12"/>
        <rFont val="Arial"/>
        <family val="2"/>
      </rPr>
      <t>f</t>
    </r>
    <r>
      <rPr>
        <sz val="9"/>
        <rFont val="Arial"/>
        <family val="2"/>
      </rPr>
      <t>), traduz a perda de carga dinâmica nesse troço.</t>
    </r>
  </si>
  <si>
    <r>
      <t>A pressão final de um troço (</t>
    </r>
    <r>
      <rPr>
        <b/>
        <sz val="10"/>
        <rFont val="Arial"/>
        <family val="2"/>
      </rPr>
      <t>P</t>
    </r>
    <r>
      <rPr>
        <vertAlign val="subscript"/>
        <sz val="12"/>
        <rFont val="Arial"/>
        <family val="2"/>
      </rPr>
      <t>f</t>
    </r>
    <r>
      <rPr>
        <sz val="9"/>
        <rFont val="Arial"/>
        <family val="2"/>
      </rPr>
      <t>), traduz a perda de carga dinâmica nesse troço.</t>
    </r>
  </si>
  <si>
    <t>≤ 1,5 mbar</t>
  </si>
  <si>
    <t>≤ 10 m/s</t>
  </si>
  <si>
    <r>
      <t>≤ 15 m/s</t>
    </r>
    <r>
      <rPr>
        <sz val="11"/>
        <rFont val="Arial"/>
        <family val="2"/>
      </rPr>
      <t>.</t>
    </r>
  </si>
  <si>
    <r>
      <t>P</t>
    </r>
    <r>
      <rPr>
        <b/>
        <vertAlign val="subscript"/>
        <sz val="10"/>
        <rFont val="Arial"/>
        <family val="2"/>
      </rPr>
      <t>o</t>
    </r>
  </si>
  <si>
    <r>
      <t>P</t>
    </r>
    <r>
      <rPr>
        <b/>
        <vertAlign val="subscript"/>
        <sz val="10"/>
        <rFont val="Arial"/>
        <family val="2"/>
      </rPr>
      <t>o</t>
    </r>
    <r>
      <rPr>
        <b/>
        <sz val="9"/>
        <rFont val="Arial"/>
        <family val="2"/>
      </rPr>
      <t xml:space="preserve"> = 1013,25 mbar</t>
    </r>
    <r>
      <rPr>
        <sz val="9"/>
        <rFont val="Arial"/>
        <family val="2"/>
      </rPr>
      <t xml:space="preserve"> </t>
    </r>
  </si>
  <si>
    <r>
      <t>P</t>
    </r>
    <r>
      <rPr>
        <vertAlign val="subscript"/>
        <sz val="10"/>
        <rFont val="Arial"/>
        <family val="2"/>
      </rPr>
      <t>fogo</t>
    </r>
  </si>
  <si>
    <t>Média</t>
  </si>
  <si>
    <r>
      <t>D</t>
    </r>
    <r>
      <rPr>
        <vertAlign val="subscript"/>
        <sz val="10"/>
        <rFont val="Arial"/>
        <family val="2"/>
      </rPr>
      <t>interior</t>
    </r>
  </si>
  <si>
    <t>escolhido</t>
  </si>
  <si>
    <t>Gama de</t>
  </si>
  <si>
    <t>1/2 a 2 1/2</t>
  </si>
  <si>
    <t>3 a 12"</t>
  </si>
  <si>
    <t>Dimensão Nominal</t>
  </si>
  <si>
    <t xml:space="preserve">Massa Nominal em função das extremidades: (kg / m) </t>
  </si>
  <si>
    <r>
      <t>D</t>
    </r>
    <r>
      <rPr>
        <sz val="10"/>
        <rFont val="Arial"/>
        <family val="2"/>
      </rPr>
      <t xml:space="preserve"> (mm)</t>
    </r>
  </si>
  <si>
    <r>
      <t>T</t>
    </r>
    <r>
      <rPr>
        <sz val="10"/>
        <rFont val="Arial"/>
        <family val="2"/>
      </rPr>
      <t xml:space="preserve"> (mm)</t>
    </r>
  </si>
  <si>
    <t>Tubo Preto</t>
  </si>
  <si>
    <t>Tubo Galvanizado</t>
  </si>
  <si>
    <r>
      <t>(</t>
    </r>
    <r>
      <rPr>
        <b/>
        <sz val="10"/>
        <rFont val="Arial"/>
        <family val="2"/>
      </rPr>
      <t xml:space="preserve"> R</t>
    </r>
    <r>
      <rPr>
        <sz val="10"/>
        <rFont val="Arial"/>
        <family val="2"/>
      </rPr>
      <t xml:space="preserve"> )</t>
    </r>
  </si>
  <si>
    <r>
      <t>(</t>
    </r>
    <r>
      <rPr>
        <b/>
        <sz val="10"/>
        <rFont val="Arial"/>
        <family val="2"/>
      </rPr>
      <t>DN</t>
    </r>
    <r>
      <rPr>
        <sz val="10"/>
        <rFont val="Arial"/>
        <family val="2"/>
      </rPr>
      <t>)</t>
    </r>
  </si>
  <si>
    <t>Lisos</t>
  </si>
  <si>
    <t xml:space="preserve">Rosc.c/ aces. </t>
  </si>
  <si>
    <t>DN 200</t>
  </si>
  <si>
    <t>DN 250</t>
  </si>
  <si>
    <t>DN 300</t>
  </si>
  <si>
    <t>Gama de Tubos de Aço para Canalizações soldados longitudinalmente (W)</t>
  </si>
  <si>
    <t>Quadro 3:</t>
  </si>
  <si>
    <t>:P.C.I.</t>
  </si>
  <si>
    <t>:Densidade Relativa</t>
  </si>
  <si>
    <t>Parâmetros do Gás adoptados</t>
  </si>
  <si>
    <t>:Densidade Corrigida</t>
  </si>
  <si>
    <t>:Conversão da pressão para kPa</t>
  </si>
  <si>
    <t>:Factor da fórmula APTA para MP</t>
  </si>
  <si>
    <t>:Factor da fórmula Galp para MP</t>
  </si>
  <si>
    <t>:Factor da fórmula a usar em MP</t>
  </si>
  <si>
    <t>:Factor da fórmula do desnível (perda de carga estática)</t>
  </si>
  <si>
    <t>:Factor da fórmula APTA para a perda de carga estática</t>
  </si>
  <si>
    <t>:Factor da fórmula Galp para a perda de carga estática</t>
  </si>
  <si>
    <t>:Factor da fórmula a usar em BP</t>
  </si>
  <si>
    <t>:Factor da fórmula APTA para BP</t>
  </si>
  <si>
    <t>:Factor da fórmula Galp para BP</t>
  </si>
  <si>
    <r>
      <t>R</t>
    </r>
    <r>
      <rPr>
        <sz val="8"/>
        <rFont val="Arial"/>
        <family val="2"/>
      </rPr>
      <t xml:space="preserve"> (rosca)</t>
    </r>
  </si>
  <si>
    <t>v ≤</t>
  </si>
  <si>
    <t>Tipo 1</t>
  </si>
  <si>
    <t>Tipo 2</t>
  </si>
  <si>
    <t>Locais</t>
  </si>
  <si>
    <r>
      <t>L</t>
    </r>
    <r>
      <rPr>
        <b/>
        <vertAlign val="subscript"/>
        <sz val="10"/>
        <rFont val="Arial"/>
        <family val="2"/>
      </rPr>
      <t>eq. local</t>
    </r>
  </si>
  <si>
    <t>3.4</t>
  </si>
  <si>
    <r>
      <t>J</t>
    </r>
    <r>
      <rPr>
        <vertAlign val="subscript"/>
        <sz val="10"/>
        <rFont val="Arial"/>
        <family val="2"/>
      </rPr>
      <t>%</t>
    </r>
  </si>
  <si>
    <t>%</t>
  </si>
  <si>
    <t>Identificação</t>
  </si>
  <si>
    <r>
      <t>2.4</t>
    </r>
    <r>
      <rPr>
        <sz val="8"/>
        <color indexed="9"/>
        <rFont val="Arial"/>
        <family val="2"/>
      </rPr>
      <t xml:space="preserve"> ou </t>
    </r>
    <r>
      <rPr>
        <sz val="9"/>
        <color indexed="9"/>
        <rFont val="Arial"/>
        <family val="2"/>
      </rPr>
      <t>2.5</t>
    </r>
    <r>
      <rPr>
        <sz val="8"/>
        <color indexed="9"/>
        <rFont val="Arial"/>
        <family val="2"/>
      </rPr>
      <t xml:space="preserve"> ou </t>
    </r>
    <r>
      <rPr>
        <sz val="9"/>
        <color indexed="9"/>
        <rFont val="Arial"/>
        <family val="2"/>
      </rPr>
      <t>2.6</t>
    </r>
  </si>
  <si>
    <t>Comprimento equivalente local</t>
  </si>
  <si>
    <t>Decisões</t>
  </si>
  <si>
    <t>Adoptado</t>
  </si>
  <si>
    <t xml:space="preserve"> Observações</t>
  </si>
  <si>
    <t>Gás Natural</t>
  </si>
  <si>
    <r>
      <t>kg/m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(n)</t>
    </r>
  </si>
  <si>
    <t>Gás Propano</t>
  </si>
  <si>
    <t>Gás Cidade</t>
  </si>
  <si>
    <t>Massa volúmica</t>
  </si>
  <si>
    <t>r</t>
  </si>
  <si>
    <r>
      <t>kcal/m</t>
    </r>
    <r>
      <rPr>
        <vertAlign val="superscript"/>
        <sz val="9"/>
        <rFont val="Arial"/>
        <family val="2"/>
      </rPr>
      <t>3</t>
    </r>
    <r>
      <rPr>
        <sz val="8"/>
        <rFont val="Arial"/>
        <family val="2"/>
      </rPr>
      <t>(n)</t>
    </r>
  </si>
  <si>
    <r>
      <t>v</t>
    </r>
    <r>
      <rPr>
        <vertAlign val="subscript"/>
        <sz val="10"/>
        <rFont val="Arial"/>
        <family val="2"/>
      </rPr>
      <t>Adm.</t>
    </r>
  </si>
  <si>
    <r>
      <t>P</t>
    </r>
    <r>
      <rPr>
        <vertAlign val="subscript"/>
        <sz val="10"/>
        <rFont val="Arial"/>
        <family val="2"/>
      </rPr>
      <t>o</t>
    </r>
  </si>
  <si>
    <r>
      <t>ΔP</t>
    </r>
    <r>
      <rPr>
        <vertAlign val="subscript"/>
        <sz val="10"/>
        <rFont val="Arial"/>
        <family val="2"/>
      </rPr>
      <t>Adm.</t>
    </r>
  </si>
  <si>
    <t>Simultan.</t>
  </si>
  <si>
    <r>
      <t>Prever capacidade para aquecimento ambiente (</t>
    </r>
    <r>
      <rPr>
        <b/>
        <sz val="10"/>
        <rFont val="Arial"/>
        <family val="2"/>
      </rPr>
      <t>x</t>
    </r>
    <r>
      <rPr>
        <sz val="10"/>
        <rFont val="Arial"/>
        <family val="2"/>
      </rPr>
      <t>):</t>
    </r>
  </si>
  <si>
    <r>
      <t>Especificar uso do formulário APTA (</t>
    </r>
    <r>
      <rPr>
        <b/>
        <sz val="10"/>
        <rFont val="Arial"/>
        <family val="2"/>
      </rPr>
      <t>x</t>
    </r>
    <r>
      <rPr>
        <sz val="10"/>
        <rFont val="Arial"/>
        <family val="2"/>
      </rPr>
      <t>):</t>
    </r>
  </si>
  <si>
    <t>Nível das perdas de carga locais</t>
  </si>
  <si>
    <r>
      <t>Usar o "kPa" como unidade de pressão (</t>
    </r>
    <r>
      <rPr>
        <b/>
        <sz val="10"/>
        <rFont val="Arial"/>
        <family val="2"/>
      </rPr>
      <t>x</t>
    </r>
    <r>
      <rPr>
        <sz val="10"/>
        <rFont val="Arial"/>
        <family val="2"/>
      </rPr>
      <t>):</t>
    </r>
  </si>
  <si>
    <t>Perda de carga admissível - MP</t>
  </si>
  <si>
    <t>Velocidade admissível - MP</t>
  </si>
  <si>
    <t>Pressão de abastecimento - MP</t>
  </si>
  <si>
    <r>
      <t>Q</t>
    </r>
    <r>
      <rPr>
        <vertAlign val="subscript"/>
        <sz val="10"/>
        <rFont val="Arial"/>
        <family val="2"/>
      </rPr>
      <t>fogo</t>
    </r>
    <r>
      <rPr>
        <vertAlign val="superscript"/>
        <sz val="10"/>
        <rFont val="Arial"/>
        <family val="2"/>
      </rPr>
      <t>1)</t>
    </r>
  </si>
  <si>
    <r>
      <t>J</t>
    </r>
    <r>
      <rPr>
        <sz val="8"/>
        <rFont val="Arial"/>
        <family val="2"/>
      </rPr>
      <t xml:space="preserve"> (abs)</t>
    </r>
  </si>
  <si>
    <t>Comprimento crítico</t>
  </si>
  <si>
    <t>Comprimento equiv. máximo</t>
  </si>
  <si>
    <t>Perda de carga quadr. média</t>
  </si>
  <si>
    <r>
      <t>Totais /</t>
    </r>
    <r>
      <rPr>
        <sz val="10"/>
        <color indexed="18"/>
        <rFont val="Arial"/>
        <family val="2"/>
      </rPr>
      <t xml:space="preserve"> Fogo tipo 1</t>
    </r>
    <r>
      <rPr>
        <sz val="10"/>
        <rFont val="Arial"/>
        <family val="2"/>
      </rPr>
      <t>:</t>
    </r>
  </si>
  <si>
    <r>
      <t>Totais /</t>
    </r>
    <r>
      <rPr>
        <sz val="10"/>
        <color indexed="18"/>
        <rFont val="Arial"/>
        <family val="2"/>
      </rPr>
      <t xml:space="preserve"> Fogo tipo 2</t>
    </r>
    <r>
      <rPr>
        <sz val="10"/>
        <rFont val="Arial"/>
        <family val="2"/>
      </rPr>
      <t>:</t>
    </r>
  </si>
  <si>
    <r>
      <t>L</t>
    </r>
    <r>
      <rPr>
        <vertAlign val="subscript"/>
        <sz val="10"/>
        <rFont val="Arial"/>
        <family val="2"/>
      </rPr>
      <t>real</t>
    </r>
  </si>
  <si>
    <r>
      <t>h</t>
    </r>
    <r>
      <rPr>
        <vertAlign val="superscript"/>
        <sz val="10"/>
        <rFont val="Arial"/>
        <family val="2"/>
      </rPr>
      <t>2)</t>
    </r>
  </si>
  <si>
    <r>
      <t>L</t>
    </r>
    <r>
      <rPr>
        <vertAlign val="subscript"/>
        <sz val="10"/>
        <rFont val="Arial"/>
        <family val="2"/>
      </rPr>
      <t>eq. local</t>
    </r>
  </si>
  <si>
    <r>
      <t>L</t>
    </r>
    <r>
      <rPr>
        <vertAlign val="subscript"/>
        <sz val="10"/>
        <rFont val="Arial"/>
        <family val="2"/>
      </rPr>
      <t>eq</t>
    </r>
  </si>
  <si>
    <r>
      <t>Q</t>
    </r>
    <r>
      <rPr>
        <vertAlign val="subscript"/>
        <sz val="10"/>
        <rFont val="Arial"/>
        <family val="2"/>
      </rPr>
      <t>troço</t>
    </r>
    <r>
      <rPr>
        <sz val="11"/>
        <rFont val="Arial"/>
        <family val="2"/>
      </rPr>
      <t/>
    </r>
  </si>
  <si>
    <r>
      <t>D</t>
    </r>
    <r>
      <rPr>
        <vertAlign val="subscript"/>
        <sz val="10"/>
        <rFont val="Arial"/>
        <family val="2"/>
      </rPr>
      <t>cálculo</t>
    </r>
  </si>
  <si>
    <r>
      <t>D</t>
    </r>
    <r>
      <rPr>
        <vertAlign val="subscript"/>
        <sz val="12"/>
        <rFont val="Arial"/>
        <family val="2"/>
      </rPr>
      <t>i</t>
    </r>
    <r>
      <rPr>
        <vertAlign val="subscript"/>
        <sz val="10"/>
        <rFont val="Arial"/>
        <family val="2"/>
      </rPr>
      <t xml:space="preserve"> imposto</t>
    </r>
  </si>
  <si>
    <r>
      <t>D</t>
    </r>
    <r>
      <rPr>
        <vertAlign val="subscript"/>
        <sz val="12"/>
        <rFont val="Arial"/>
        <family val="2"/>
      </rPr>
      <t>i</t>
    </r>
  </si>
  <si>
    <r>
      <t>Série Média</t>
    </r>
    <r>
      <rPr>
        <vertAlign val="superscript"/>
        <sz val="10"/>
        <rFont val="Arial"/>
        <family val="2"/>
      </rPr>
      <t>3)</t>
    </r>
  </si>
  <si>
    <r>
      <t>ΔP</t>
    </r>
    <r>
      <rPr>
        <vertAlign val="subscript"/>
        <sz val="10"/>
        <rFont val="Arial"/>
        <family val="2"/>
      </rPr>
      <t>acumul.</t>
    </r>
    <r>
      <rPr>
        <sz val="9"/>
        <rFont val="Arial"/>
        <family val="2"/>
      </rPr>
      <t>≤</t>
    </r>
    <r>
      <rPr>
        <sz val="8"/>
        <rFont val="Arial"/>
        <family val="2"/>
      </rPr>
      <t xml:space="preserve"> </t>
    </r>
  </si>
  <si>
    <r>
      <t>Série Média</t>
    </r>
    <r>
      <rPr>
        <vertAlign val="superscript"/>
        <sz val="10"/>
        <rFont val="Arial"/>
        <family val="2"/>
      </rPr>
      <t>4)</t>
    </r>
  </si>
  <si>
    <r>
      <t>(</t>
    </r>
    <r>
      <rPr>
        <sz val="9"/>
        <color indexed="18"/>
        <rFont val="Arial"/>
        <family val="2"/>
      </rPr>
      <t>1</t>
    </r>
    <r>
      <rPr>
        <sz val="8"/>
        <color indexed="18"/>
        <rFont val="Arial"/>
        <family val="2"/>
      </rPr>
      <t xml:space="preserve"> por defeito)</t>
    </r>
  </si>
  <si>
    <r>
      <t>L</t>
    </r>
    <r>
      <rPr>
        <vertAlign val="subscript"/>
        <sz val="10"/>
        <rFont val="Arial"/>
        <family val="2"/>
      </rPr>
      <t>crítico</t>
    </r>
  </si>
  <si>
    <r>
      <t>L</t>
    </r>
    <r>
      <rPr>
        <vertAlign val="subscript"/>
        <sz val="10"/>
        <rFont val="Arial"/>
        <family val="2"/>
      </rPr>
      <t>eq.máx.</t>
    </r>
  </si>
  <si>
    <t>Pressão atmosférica standard</t>
  </si>
  <si>
    <t>Especificação do gás utilizado</t>
  </si>
  <si>
    <r>
      <t>P</t>
    </r>
    <r>
      <rPr>
        <vertAlign val="subscript"/>
        <sz val="10"/>
        <rFont val="Arial"/>
        <family val="2"/>
      </rPr>
      <t>A / MP</t>
    </r>
  </si>
  <si>
    <t>Pressão de abastecimento - BP</t>
  </si>
  <si>
    <t>Perda de carga admissível - BP</t>
  </si>
  <si>
    <t>Velocidade admissível - BP</t>
  </si>
  <si>
    <r>
      <t>kg/m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(n)</t>
    </r>
  </si>
  <si>
    <t xml:space="preserve"> Ex: A1, A2 , A3....</t>
  </si>
  <si>
    <r>
      <t>kcal/m</t>
    </r>
    <r>
      <rPr>
        <vertAlign val="superscript"/>
        <sz val="8"/>
        <rFont val="Arial"/>
        <family val="2"/>
      </rPr>
      <t>3</t>
    </r>
    <r>
      <rPr>
        <sz val="6"/>
        <rFont val="Arial"/>
        <family val="2"/>
      </rPr>
      <t>(n)</t>
    </r>
  </si>
  <si>
    <t>Descrição - Aparelhos a Gás</t>
  </si>
  <si>
    <r>
      <t xml:space="preserve"> Instalações Individuais</t>
    </r>
    <r>
      <rPr>
        <sz val="14"/>
        <color indexed="9"/>
        <rFont val="Arial"/>
        <family val="2"/>
      </rPr>
      <t xml:space="preserve"> (Dimensionamento para Baixa Pressão - BP)</t>
    </r>
  </si>
  <si>
    <t>Perda de carga linear média</t>
  </si>
  <si>
    <t>Trajecto crítico da 1ª Instalação Individual</t>
  </si>
  <si>
    <t>Trajecto crítico da 2ª Instalação Individual</t>
  </si>
  <si>
    <t>Quadro 3 ou EN 10255</t>
  </si>
  <si>
    <t>Caudal do aparelho a gás</t>
  </si>
  <si>
    <t>Poder calorífico inferior</t>
  </si>
  <si>
    <t>Organizar desenho da instalação:</t>
  </si>
  <si>
    <t xml:space="preserve">Dados de entrada: </t>
  </si>
  <si>
    <t>Organizar desenho da Instalação:</t>
  </si>
  <si>
    <t>Caudal do aparelho com maior consumo</t>
  </si>
  <si>
    <t>Caudal do aparelho com o segundo maior consumo</t>
  </si>
  <si>
    <t>Características dos gases utilizados em Portugal:</t>
  </si>
  <si>
    <t>Definir que aparelhos a gás constarão em cada fogo:</t>
  </si>
  <si>
    <t>Determinar os caudais standard dos diversos aparelhos:</t>
  </si>
  <si>
    <t>Factor de simultaneidade</t>
  </si>
  <si>
    <t>Caudal máximo de cada troço</t>
  </si>
  <si>
    <t>Determinar, para cada troço, o diâmetro de cálculo em média pressão:</t>
  </si>
  <si>
    <t>Diâmetro de cálculo</t>
  </si>
  <si>
    <t>Diâmetro interior normalizado do tubo de aço</t>
  </si>
  <si>
    <t>Comprimento do trajecto crítico</t>
  </si>
  <si>
    <t>Comprimento equivalente do trajecto crítico</t>
  </si>
  <si>
    <t>Comprimento equivalente do troço</t>
  </si>
  <si>
    <t>Soma dos comprimentos dos diversos troços de tubagem que constituem o trajecto crítico.</t>
  </si>
  <si>
    <t>Definir o trajecto crítico (percurso que corresponde ao maior comprimento de tubagem):</t>
  </si>
  <si>
    <t>Determinar o comprimento equivalente máximo da instalação de Baixa Pressão:</t>
  </si>
  <si>
    <t>Determinar o comprimento equivalente máximo de toda a instalação de Média Pressão:</t>
  </si>
  <si>
    <t>Determinar a perda de parga quadrática média, a ser utilizada em qualquer troço da tubagem, na determinação do diâmetro de cálculo:</t>
  </si>
  <si>
    <t>Determinar a perda de carga linear média, a ser utilizada em qualquer troço da tubagem, na determinação do diâmetro de cálculo:</t>
  </si>
  <si>
    <t>Pressão atmosférica</t>
  </si>
  <si>
    <t>Perda de carga quadrática média</t>
  </si>
  <si>
    <t>Pressão de abastecimento</t>
  </si>
  <si>
    <t>Determinar, para cada troço, o diâmetro interior normalizado da tubagem de aço, em conformidade com a norma europeia EN 10255 ou equivalente.</t>
  </si>
  <si>
    <t>Impor a pressão de abastecimento, correspondente a Baixa Pressão, de acordo com as regras da concessionária:</t>
  </si>
  <si>
    <r>
      <t>P</t>
    </r>
    <r>
      <rPr>
        <b/>
        <vertAlign val="subscript"/>
        <sz val="10"/>
        <rFont val="Arial"/>
        <family val="2"/>
      </rPr>
      <t>A / BP</t>
    </r>
  </si>
  <si>
    <t>Impor a pressão de abastecimento, correspondente a Média Pressão, de acordo com as regras da concessionária:</t>
  </si>
  <si>
    <r>
      <t>P</t>
    </r>
    <r>
      <rPr>
        <b/>
        <vertAlign val="subscript"/>
        <sz val="10"/>
        <rFont val="Arial"/>
        <family val="2"/>
      </rPr>
      <t>A / MP</t>
    </r>
  </si>
  <si>
    <r>
      <t>P</t>
    </r>
    <r>
      <rPr>
        <b/>
        <vertAlign val="subscript"/>
        <sz val="9"/>
        <rFont val="Arial"/>
        <family val="2"/>
      </rPr>
      <t>A</t>
    </r>
    <r>
      <rPr>
        <b/>
        <sz val="9"/>
        <rFont val="Arial"/>
        <family val="2"/>
      </rPr>
      <t xml:space="preserve"> = 300 mbar</t>
    </r>
    <r>
      <rPr>
        <sz val="9"/>
        <rFont val="Arial"/>
        <family val="2"/>
      </rPr>
      <t xml:space="preserve"> , instalações a Gás Natural.</t>
    </r>
  </si>
  <si>
    <r>
      <t>P</t>
    </r>
    <r>
      <rPr>
        <b/>
        <vertAlign val="subscript"/>
        <sz val="9"/>
        <rFont val="Arial"/>
        <family val="2"/>
      </rPr>
      <t>A</t>
    </r>
    <r>
      <rPr>
        <b/>
        <sz val="9"/>
        <rFont val="Arial"/>
        <family val="2"/>
      </rPr>
      <t xml:space="preserve"> = 100 mbar</t>
    </r>
    <r>
      <rPr>
        <sz val="9"/>
        <rFont val="Arial"/>
        <family val="2"/>
      </rPr>
      <t xml:space="preserve">, instalações a Gás Natural ; 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A</t>
    </r>
    <r>
      <rPr>
        <b/>
        <sz val="9"/>
        <rFont val="Arial"/>
        <family val="2"/>
      </rPr>
      <t xml:space="preserve"> = 1500 mbar</t>
    </r>
    <r>
      <rPr>
        <sz val="9"/>
        <rFont val="Arial"/>
        <family val="2"/>
      </rPr>
      <t>, instalações a Propano.</t>
    </r>
  </si>
  <si>
    <r>
      <t>P</t>
    </r>
    <r>
      <rPr>
        <b/>
        <vertAlign val="subscript"/>
        <sz val="9"/>
        <rFont val="Arial"/>
        <family val="2"/>
      </rPr>
      <t>A</t>
    </r>
    <r>
      <rPr>
        <b/>
        <sz val="9"/>
        <rFont val="Arial"/>
        <family val="2"/>
      </rPr>
      <t xml:space="preserve"> = 20 mbar</t>
    </r>
    <r>
      <rPr>
        <sz val="9"/>
        <rFont val="Arial"/>
        <family val="2"/>
      </rPr>
      <t xml:space="preserve">, instalações a Gás Natural ; 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A</t>
    </r>
    <r>
      <rPr>
        <b/>
        <sz val="9"/>
        <rFont val="Arial"/>
        <family val="2"/>
      </rPr>
      <t xml:space="preserve"> = 37 mbar</t>
    </r>
    <r>
      <rPr>
        <sz val="9"/>
        <rFont val="Arial"/>
        <family val="2"/>
      </rPr>
      <t>, instalações a Propano.</t>
    </r>
  </si>
  <si>
    <r>
      <t>P</t>
    </r>
    <r>
      <rPr>
        <vertAlign val="subscript"/>
        <sz val="10"/>
        <rFont val="Arial"/>
        <family val="2"/>
      </rPr>
      <t>A / BP</t>
    </r>
    <r>
      <rPr>
        <vertAlign val="superscript"/>
        <sz val="10"/>
        <rFont val="Arial"/>
        <family val="2"/>
      </rPr>
      <t>5)</t>
    </r>
  </si>
  <si>
    <t>Pressão média no troço (absoluta)</t>
  </si>
  <si>
    <t>Pressão inicial no troço</t>
  </si>
  <si>
    <t>Pressão final no troço</t>
  </si>
  <si>
    <t>Pressão final corrigida no troço.</t>
  </si>
  <si>
    <r>
      <t>P</t>
    </r>
    <r>
      <rPr>
        <b/>
        <vertAlign val="subscript"/>
        <sz val="10"/>
        <rFont val="Arial"/>
        <family val="2"/>
      </rPr>
      <t>m (abs)</t>
    </r>
  </si>
  <si>
    <r>
      <t>Determinar a pressão final corrigida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fc</t>
    </r>
    <r>
      <rPr>
        <sz val="9"/>
        <rFont val="Arial"/>
        <family val="2"/>
      </rPr>
      <t>) de cada troço, considerando a perda de carga devida à altura:</t>
    </r>
  </si>
  <si>
    <r>
      <t>A pressão de abastecimento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A</t>
    </r>
    <r>
      <rPr>
        <sz val="9"/>
        <rFont val="Arial"/>
        <family val="2"/>
      </rPr>
      <t>) será a pressão inicial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i</t>
    </r>
    <r>
      <rPr>
        <sz val="9"/>
        <rFont val="Arial"/>
        <family val="2"/>
      </rPr>
      <t>)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desse primeiro troço situado imediatamente a jusante da caixa de entrada do edifício. Determinar a pressão final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f</t>
    </r>
    <r>
      <rPr>
        <sz val="9"/>
        <rFont val="Arial"/>
        <family val="2"/>
      </rPr>
      <t xml:space="preserve">) através da </t>
    </r>
    <r>
      <rPr>
        <b/>
        <sz val="9"/>
        <rFont val="Arial"/>
        <family val="2"/>
      </rPr>
      <t>Fórmula de Renouard</t>
    </r>
    <r>
      <rPr>
        <sz val="9"/>
        <rFont val="Arial"/>
        <family val="2"/>
      </rPr>
      <t>.</t>
    </r>
  </si>
  <si>
    <r>
      <t>A pressão final corrigida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fc</t>
    </r>
    <r>
      <rPr>
        <sz val="9"/>
        <rFont val="Arial"/>
        <family val="2"/>
      </rPr>
      <t>) de um qualquer troço, será a pressão inicial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i</t>
    </r>
    <r>
      <rPr>
        <sz val="9"/>
        <rFont val="Arial"/>
        <family val="2"/>
      </rPr>
      <t>)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do(s) troço(s) situado(s) imediatamente a jusante. </t>
    </r>
  </si>
  <si>
    <r>
      <t>Calcular a perda de carga (</t>
    </r>
    <r>
      <rPr>
        <b/>
        <sz val="9"/>
        <rFont val="Arial"/>
        <family val="2"/>
      </rPr>
      <t>ΔP</t>
    </r>
    <r>
      <rPr>
        <b/>
        <vertAlign val="subscript"/>
        <sz val="9"/>
        <rFont val="Arial"/>
        <family val="2"/>
      </rPr>
      <t>troço</t>
    </r>
    <r>
      <rPr>
        <sz val="9"/>
        <rFont val="Arial"/>
        <family val="2"/>
      </rPr>
      <t>) de cada troço:</t>
    </r>
  </si>
  <si>
    <r>
      <t>Calcular a perda de carga acumulada (</t>
    </r>
    <r>
      <rPr>
        <b/>
        <i/>
        <sz val="9"/>
        <rFont val="Arial"/>
        <family val="2"/>
      </rPr>
      <t>Δ</t>
    </r>
    <r>
      <rPr>
        <b/>
        <sz val="9"/>
        <rFont val="Arial"/>
        <family val="2"/>
      </rPr>
      <t>P</t>
    </r>
    <r>
      <rPr>
        <b/>
        <vertAlign val="subscript"/>
        <sz val="9"/>
        <rFont val="Arial"/>
        <family val="2"/>
      </rPr>
      <t>acumul.</t>
    </r>
    <r>
      <rPr>
        <sz val="9"/>
        <rFont val="Arial"/>
        <family val="2"/>
      </rPr>
      <t>) no final de cada troço:</t>
    </r>
  </si>
  <si>
    <r>
      <t>Calcular a pressão média (</t>
    </r>
    <r>
      <rPr>
        <b/>
        <sz val="9"/>
        <rFont val="Arial"/>
        <family val="2"/>
      </rPr>
      <t>P</t>
    </r>
    <r>
      <rPr>
        <b/>
        <vertAlign val="subscript"/>
        <sz val="10"/>
        <rFont val="Arial"/>
        <family val="2"/>
      </rPr>
      <t>m</t>
    </r>
    <r>
      <rPr>
        <sz val="9"/>
        <rFont val="Arial"/>
        <family val="2"/>
      </rPr>
      <t>) de cada troço:</t>
    </r>
  </si>
  <si>
    <t>Perda de carga no troço</t>
  </si>
  <si>
    <t>Perda de carga acumulada no troço</t>
  </si>
  <si>
    <t>Perda de carga acumulada admissível</t>
  </si>
  <si>
    <r>
      <t>ΔP</t>
    </r>
    <r>
      <rPr>
        <b/>
        <vertAlign val="subscript"/>
        <sz val="10"/>
        <rFont val="Arial"/>
        <family val="2"/>
      </rPr>
      <t>Adm.</t>
    </r>
  </si>
  <si>
    <t>Velocidade de escoamento no troço</t>
  </si>
  <si>
    <t>Velocidade de escoamento admissível</t>
  </si>
  <si>
    <r>
      <t xml:space="preserve">Verificar se a </t>
    </r>
    <r>
      <rPr>
        <b/>
        <sz val="11"/>
        <rFont val="Arial"/>
        <family val="2"/>
      </rPr>
      <t>perda de carga acumulada em cada troço é inferior ou igual a 30 mbar</t>
    </r>
    <r>
      <rPr>
        <sz val="10"/>
        <rFont val="Arial"/>
        <family val="2"/>
      </rPr>
      <t xml:space="preserve"> e se a </t>
    </r>
    <r>
      <rPr>
        <b/>
        <sz val="11"/>
        <rFont val="Arial"/>
        <family val="2"/>
      </rPr>
      <t>velocidade de escoamento em cada troço é inferior ou igual a 15 m/s</t>
    </r>
    <r>
      <rPr>
        <sz val="12"/>
        <rFont val="Arial"/>
        <family val="2"/>
      </rPr>
      <t>.</t>
    </r>
    <r>
      <rPr>
        <sz val="10"/>
        <rFont val="Arial"/>
        <family val="2"/>
      </rPr>
      <t xml:space="preserve"> Se tal não suceder, subir um escalão no valor do diâmetro interior normalizado desse troço e regressar à </t>
    </r>
    <r>
      <rPr>
        <b/>
        <sz val="11"/>
        <rFont val="Arial"/>
        <family val="2"/>
      </rPr>
      <t>fase 8</t>
    </r>
    <r>
      <rPr>
        <sz val="10"/>
        <rFont val="Arial"/>
        <family val="2"/>
      </rPr>
      <t xml:space="preserve"> do presente procedimento.</t>
    </r>
  </si>
  <si>
    <r>
      <t xml:space="preserve">Verificar se a </t>
    </r>
    <r>
      <rPr>
        <b/>
        <sz val="11"/>
        <rFont val="Arial"/>
        <family val="2"/>
      </rPr>
      <t>perda de carga acumulada em cada troço é inferior a 1,5 mbar</t>
    </r>
    <r>
      <rPr>
        <sz val="10"/>
        <rFont val="Arial"/>
        <family val="2"/>
      </rPr>
      <t xml:space="preserve"> e se a </t>
    </r>
    <r>
      <rPr>
        <b/>
        <sz val="11"/>
        <rFont val="Arial"/>
        <family val="2"/>
      </rPr>
      <t>velocidade de escoamento em cada troço é inferior a 10 m/s</t>
    </r>
    <r>
      <rPr>
        <b/>
        <sz val="12"/>
        <rFont val="Arial"/>
        <family val="2"/>
      </rPr>
      <t>.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Se tal não suceder, subir um escalão no valor do diâmetro interior normalizado desse troço e regressar à </t>
    </r>
    <r>
      <rPr>
        <b/>
        <sz val="11"/>
        <rFont val="Arial"/>
        <family val="2"/>
      </rPr>
      <t>fase 8</t>
    </r>
    <r>
      <rPr>
        <sz val="10"/>
        <rFont val="Arial"/>
        <family val="2"/>
      </rPr>
      <t xml:space="preserve"> do presente procedimento.</t>
    </r>
  </si>
  <si>
    <t>Calcular a velocidade de escoamento em cada troço:</t>
  </si>
  <si>
    <r>
      <t xml:space="preserve">Opção de especificação detalhada das perdas de carga locais, através do método dos "comprimentos equivalentes" (consultar </t>
    </r>
    <r>
      <rPr>
        <b/>
        <sz val="9"/>
        <rFont val="Arial"/>
        <family val="2"/>
      </rPr>
      <t>Quadro 4</t>
    </r>
    <r>
      <rPr>
        <sz val="9"/>
        <rFont val="Arial"/>
        <family val="2"/>
      </rPr>
      <t>)</t>
    </r>
  </si>
  <si>
    <t>3.5</t>
  </si>
  <si>
    <r>
      <t>J</t>
    </r>
    <r>
      <rPr>
        <b/>
        <vertAlign val="subscript"/>
        <sz val="10"/>
        <rFont val="Arial"/>
        <family val="2"/>
      </rPr>
      <t>%</t>
    </r>
  </si>
  <si>
    <t>Fixar nível das perdas da carga locais. Por defeito, é efectuado um acréscimo de 20 % ao comprimento real do troço.</t>
  </si>
  <si>
    <t>Fixar nível de afectação das perdas da carga locais. Por defeito, é efectuado um acréscimo de 20 % ao comprimento real do troço.</t>
  </si>
  <si>
    <r>
      <t>Onde: T</t>
    </r>
    <r>
      <rPr>
        <vertAlign val="subscript"/>
        <sz val="10"/>
        <rFont val="Arial"/>
        <family val="2"/>
      </rPr>
      <t>st</t>
    </r>
    <r>
      <rPr>
        <sz val="9"/>
        <rFont val="Arial"/>
        <family val="2"/>
      </rPr>
      <t xml:space="preserve"> - Temperatura absoluta standard e T</t>
    </r>
    <r>
      <rPr>
        <vertAlign val="subscript"/>
        <sz val="10"/>
        <rFont val="Arial"/>
        <family val="2"/>
      </rPr>
      <t>n</t>
    </r>
    <r>
      <rPr>
        <sz val="9"/>
        <rFont val="Arial"/>
        <family val="2"/>
      </rPr>
      <t xml:space="preserve"> - Temperatura absoluta normal. </t>
    </r>
  </si>
  <si>
    <r>
      <t>N</t>
    </r>
    <r>
      <rPr>
        <vertAlign val="subscript"/>
        <sz val="11"/>
        <rFont val="Arial"/>
        <family val="2"/>
      </rPr>
      <t>tipo 1</t>
    </r>
  </si>
  <si>
    <r>
      <t>N</t>
    </r>
    <r>
      <rPr>
        <vertAlign val="subscript"/>
        <sz val="11"/>
        <rFont val="Arial"/>
        <family val="2"/>
      </rPr>
      <t>tipo 2</t>
    </r>
  </si>
  <si>
    <t>Obs.</t>
  </si>
  <si>
    <t>3.5      2.2 - Quadro 2     2.3</t>
  </si>
  <si>
    <t>Caudal máximo deste tipo de troço</t>
  </si>
  <si>
    <t>Potência nominal de cada aparelho</t>
  </si>
  <si>
    <t>Determinar, para cada troço, o diâmetro de cálculo em baixa pressão:</t>
  </si>
  <si>
    <r>
      <t>Começando-se pelo primeiro troço, situado imediatamente a jusante do redutor de fogo, calcular sequencialmente, as pressões inicial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i</t>
    </r>
    <r>
      <rPr>
        <sz val="9"/>
        <rFont val="Arial"/>
        <family val="2"/>
      </rPr>
      <t>), final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f</t>
    </r>
    <r>
      <rPr>
        <sz val="9"/>
        <rFont val="Arial"/>
        <family val="2"/>
      </rPr>
      <t>) e final corrigida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fc</t>
    </r>
    <r>
      <rPr>
        <sz val="9"/>
        <rFont val="Arial"/>
        <family val="2"/>
      </rPr>
      <t>) de cada troço:</t>
    </r>
  </si>
  <si>
    <r>
      <t>Começando-se pelo primeiro troço, situado imediatamente a jusante da caixa de entrada do edifício, calcular sequencialmente, as pressões inicial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i</t>
    </r>
    <r>
      <rPr>
        <sz val="9"/>
        <rFont val="Arial"/>
        <family val="2"/>
      </rPr>
      <t>), final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f</t>
    </r>
    <r>
      <rPr>
        <sz val="9"/>
        <rFont val="Arial"/>
        <family val="2"/>
      </rPr>
      <t>) e final corrigida (</t>
    </r>
    <r>
      <rPr>
        <b/>
        <sz val="10"/>
        <rFont val="Arial"/>
        <family val="2"/>
      </rPr>
      <t>P</t>
    </r>
    <r>
      <rPr>
        <b/>
        <vertAlign val="subscript"/>
        <sz val="12"/>
        <rFont val="Arial"/>
        <family val="2"/>
      </rPr>
      <t>fc</t>
    </r>
    <r>
      <rPr>
        <sz val="9"/>
        <rFont val="Arial"/>
        <family val="2"/>
      </rPr>
      <t>) de cada troço:</t>
    </r>
  </si>
  <si>
    <r>
      <t>A pressão de Abastecimento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A</t>
    </r>
    <r>
      <rPr>
        <sz val="9"/>
        <rFont val="Arial"/>
        <family val="2"/>
      </rPr>
      <t>) será a pressão inicial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i</t>
    </r>
    <r>
      <rPr>
        <sz val="9"/>
        <rFont val="Arial"/>
        <family val="2"/>
      </rPr>
      <t>)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desse primeiro troço situado imediatamente a jusante do redutor/contador de fogo. Determinar a pressão final (</t>
    </r>
    <r>
      <rPr>
        <b/>
        <sz val="9"/>
        <rFont val="Arial"/>
        <family val="2"/>
      </rPr>
      <t>P</t>
    </r>
    <r>
      <rPr>
        <b/>
        <vertAlign val="subscript"/>
        <sz val="11"/>
        <rFont val="Arial"/>
        <family val="2"/>
      </rPr>
      <t>f</t>
    </r>
    <r>
      <rPr>
        <sz val="9"/>
        <rFont val="Arial"/>
        <family val="2"/>
      </rPr>
      <t xml:space="preserve">) através da </t>
    </r>
    <r>
      <rPr>
        <b/>
        <sz val="9"/>
        <rFont val="Arial"/>
        <family val="2"/>
      </rPr>
      <t>Fórmula de Renouard Simplificada</t>
    </r>
    <r>
      <rPr>
        <sz val="9"/>
        <rFont val="Arial"/>
        <family val="2"/>
      </rPr>
      <t>.</t>
    </r>
  </si>
  <si>
    <r>
      <t>Esta análise deverá começar pelo primeiro troço, situado imediatamente a jusante do redutor/contador de fogo, e assim sucessivamente ao longo dos diversos "</t>
    </r>
    <r>
      <rPr>
        <b/>
        <sz val="9"/>
        <rFont val="Arial"/>
        <family val="2"/>
      </rPr>
      <t>n</t>
    </r>
    <r>
      <rPr>
        <sz val="9"/>
        <rFont val="Arial"/>
        <family val="2"/>
      </rPr>
      <t>" troços situados a jusante.</t>
    </r>
  </si>
  <si>
    <r>
      <t>Nó</t>
    </r>
    <r>
      <rPr>
        <sz val="10"/>
        <rFont val="Arial"/>
        <family val="2"/>
      </rPr>
      <t xml:space="preserve"> - Ponto de derivação de uma tubagem.</t>
    </r>
  </si>
  <si>
    <r>
      <t>Troço</t>
    </r>
    <r>
      <rPr>
        <sz val="10"/>
        <rFont val="Arial"/>
        <family val="2"/>
      </rPr>
      <t xml:space="preserve"> de tubagem - Tubagem situada entre:</t>
    </r>
  </si>
  <si>
    <t>- Dois Nós.</t>
  </si>
  <si>
    <t>- Um Contador e um Nó (ou Válvula de Corte de um aparelho, caso não exista Nó).</t>
  </si>
  <si>
    <t>- Um Nó e uma Válvula de Corte de um aparelho.</t>
  </si>
  <si>
    <t>- Um Nó e um Redutor de Pressão ou vice-versa.</t>
  </si>
  <si>
    <r>
      <t>ΔP</t>
    </r>
    <r>
      <rPr>
        <vertAlign val="subscript"/>
        <sz val="10"/>
        <rFont val="Arial"/>
        <family val="2"/>
      </rPr>
      <t>acumul.</t>
    </r>
  </si>
  <si>
    <r>
      <t>Gás Natural a ser fornecido pela EDP Gás (</t>
    </r>
    <r>
      <rPr>
        <b/>
        <sz val="10"/>
        <rFont val="Arial"/>
        <family val="2"/>
      </rPr>
      <t>x</t>
    </r>
    <r>
      <rPr>
        <sz val="10"/>
        <rFont val="Arial"/>
        <family val="2"/>
      </rPr>
      <t>):</t>
    </r>
  </si>
  <si>
    <t>No caso de a concessionária ser a EDP Gás:</t>
  </si>
  <si>
    <t>Designação</t>
  </si>
  <si>
    <t>Nº</t>
  </si>
  <si>
    <t>Fogos</t>
  </si>
  <si>
    <t>Imputar a cada troço da instalação o respectivo caudal máximo de gás, do seguinte modo:</t>
  </si>
  <si>
    <t>Imputar a cada troço da instalação o respectivo caudal máximo de gás:</t>
  </si>
  <si>
    <r>
      <t xml:space="preserve">Consultar </t>
    </r>
    <r>
      <rPr>
        <b/>
        <sz val="9"/>
        <rFont val="Arial"/>
        <family val="2"/>
      </rPr>
      <t xml:space="preserve">Quadro 3 - Nota: </t>
    </r>
    <r>
      <rPr>
        <sz val="9"/>
        <rFont val="Arial"/>
        <family val="2"/>
      </rPr>
      <t xml:space="preserve">nos troços de Média Pressão, </t>
    </r>
    <r>
      <rPr>
        <b/>
        <sz val="9"/>
        <rFont val="Arial"/>
        <family val="2"/>
      </rPr>
      <t>deve-se adoptar uma dimensão mínima de 1/2 (DN 15)</t>
    </r>
    <r>
      <rPr>
        <sz val="9"/>
        <rFont val="Arial"/>
        <family val="2"/>
      </rPr>
      <t>.</t>
    </r>
  </si>
  <si>
    <r>
      <t xml:space="preserve">Consultar </t>
    </r>
    <r>
      <rPr>
        <b/>
        <sz val="9"/>
        <rFont val="Arial"/>
        <family val="2"/>
      </rPr>
      <t>Quadro 3 - Nota:</t>
    </r>
    <r>
      <rPr>
        <sz val="9"/>
        <rFont val="Arial"/>
        <family val="2"/>
      </rPr>
      <t xml:space="preserve"> nos troços de Baixa Pressão, </t>
    </r>
    <r>
      <rPr>
        <b/>
        <sz val="9"/>
        <rFont val="Arial"/>
        <family val="2"/>
      </rPr>
      <t>comuns a vários aparelhos, deve-se adoptar uma dimensão mínima de 3/4 (DN 20)</t>
    </r>
    <r>
      <rPr>
        <sz val="9"/>
        <rFont val="Arial"/>
        <family val="2"/>
      </rPr>
      <t>.</t>
    </r>
  </si>
  <si>
    <r>
      <t>A pressão final corrigida de um troço (</t>
    </r>
    <r>
      <rPr>
        <b/>
        <sz val="10"/>
        <rFont val="Arial"/>
        <family val="2"/>
      </rPr>
      <t>P</t>
    </r>
    <r>
      <rPr>
        <vertAlign val="subscript"/>
        <sz val="12"/>
        <rFont val="Arial"/>
        <family val="2"/>
      </rPr>
      <t>fc</t>
    </r>
    <r>
      <rPr>
        <sz val="9"/>
        <rFont val="Arial"/>
        <family val="2"/>
      </rPr>
      <t>), incorpora a perda de carga estática nesse troço.</t>
    </r>
  </si>
  <si>
    <r>
      <t xml:space="preserve">≤ 30 mbar </t>
    </r>
    <r>
      <rPr>
        <sz val="9"/>
        <rFont val="Arial"/>
        <family val="2"/>
      </rPr>
      <t>(no caso da concessionária EDP Gás, em certas situações, poderá ser</t>
    </r>
    <r>
      <rPr>
        <b/>
        <sz val="11"/>
        <rFont val="Arial"/>
        <family val="2"/>
      </rPr>
      <t xml:space="preserve"> ≤ 15 mbar</t>
    </r>
    <r>
      <rPr>
        <sz val="9"/>
        <rFont val="Arial"/>
        <family val="2"/>
      </rPr>
      <t xml:space="preserve">). </t>
    </r>
  </si>
  <si>
    <t>Especificação do gás utilizado para o cálculo:</t>
  </si>
  <si>
    <t>Indicador</t>
  </si>
  <si>
    <t>alimentação de</t>
  </si>
  <si>
    <t>1ou+aparelhos</t>
  </si>
  <si>
    <t>Localização do troço a jusante</t>
  </si>
  <si>
    <t>Nº de Fogos alimentados pelo troço a jusante</t>
  </si>
  <si>
    <t xml:space="preserve">garantindo que o nº de </t>
  </si>
  <si>
    <t>não é inferior ao do troço a jusante</t>
  </si>
  <si>
    <t>Fogos de um troço</t>
  </si>
  <si>
    <t>Verif. da correcta introdução do nº de Fogos</t>
  </si>
  <si>
    <r>
      <t>Especificar simultaneidade total (</t>
    </r>
    <r>
      <rPr>
        <b/>
        <sz val="10"/>
        <rFont val="Arial"/>
        <family val="2"/>
      </rPr>
      <t>x</t>
    </r>
    <r>
      <rPr>
        <sz val="10"/>
        <rFont val="Arial"/>
        <family val="2"/>
      </rPr>
      <t>):</t>
    </r>
  </si>
  <si>
    <r>
      <t xml:space="preserve"> Instalação Colectiva </t>
    </r>
    <r>
      <rPr>
        <sz val="14"/>
        <color theme="0"/>
        <rFont val="Arial"/>
        <family val="2"/>
      </rPr>
      <t>(Dimensionamento para Média Pressão - MP)</t>
    </r>
  </si>
  <si>
    <r>
      <t>d</t>
    </r>
    <r>
      <rPr>
        <vertAlign val="subscript"/>
        <sz val="10"/>
        <color theme="0"/>
        <rFont val="Arial"/>
        <family val="2"/>
      </rPr>
      <t>r</t>
    </r>
  </si>
  <si>
    <r>
      <t>d</t>
    </r>
    <r>
      <rPr>
        <vertAlign val="subscript"/>
        <sz val="10"/>
        <color theme="0"/>
        <rFont val="Arial"/>
        <family val="2"/>
      </rPr>
      <t>c</t>
    </r>
  </si>
  <si>
    <r>
      <t>kcal/m</t>
    </r>
    <r>
      <rPr>
        <vertAlign val="superscript"/>
        <sz val="9"/>
        <color theme="0"/>
        <rFont val="Arial"/>
        <family val="2"/>
      </rPr>
      <t>3</t>
    </r>
    <r>
      <rPr>
        <sz val="9"/>
        <color theme="0"/>
        <rFont val="Arial"/>
        <family val="2"/>
      </rPr>
      <t>(n)</t>
    </r>
  </si>
  <si>
    <r>
      <t>kg/m</t>
    </r>
    <r>
      <rPr>
        <vertAlign val="superscript"/>
        <sz val="9"/>
        <color theme="0"/>
        <rFont val="Arial"/>
        <family val="2"/>
      </rPr>
      <t>3</t>
    </r>
    <r>
      <rPr>
        <sz val="9"/>
        <color theme="0"/>
        <rFont val="Arial"/>
        <family val="2"/>
      </rPr>
      <t>(n)</t>
    </r>
  </si>
  <si>
    <t xml:space="preserve">      ≥ 89</t>
  </si>
  <si>
    <t>Conf.</t>
  </si>
  <si>
    <r>
      <t>P</t>
    </r>
    <r>
      <rPr>
        <vertAlign val="subscript"/>
        <sz val="10"/>
        <rFont val="Arial"/>
        <family val="2"/>
      </rPr>
      <t>m</t>
    </r>
  </si>
  <si>
    <r>
      <rPr>
        <b/>
        <sz val="10"/>
        <color rgb="FFFFFFFF"/>
        <rFont val="Arial"/>
        <family val="2"/>
      </rPr>
      <t>Detalhes</t>
    </r>
    <r>
      <rPr>
        <b/>
        <sz val="8"/>
        <color rgb="FFFFFFFF"/>
        <rFont val="Arial"/>
        <family val="2"/>
      </rPr>
      <t xml:space="preserve"> de </t>
    </r>
    <r>
      <rPr>
        <b/>
        <sz val="10"/>
        <color rgb="FFFFFFFF"/>
        <rFont val="Arial"/>
        <family val="2"/>
      </rPr>
      <t>Abastecimento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</si>
</sst>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"/>
    <numFmt numFmtId="165" formatCode="0.0"/>
    <numFmt numFmtId="166" formatCode="0.0000"/>
    <numFmt numFmtId="167" formatCode="0.00000"/>
    <numFmt numFmtId="168" formatCode="#,##0.0"/>
    <numFmt numFmtId="169" formatCode="\(0\)"/>
    <numFmt numFmtId="170" formatCode="&quot;m -&quot;\ #\ ?/?"/>
    <numFmt numFmtId="171" formatCode="0\)"/>
  </numFmts>
  <fonts count="10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9"/>
      <color indexed="10"/>
      <name val="Arial"/>
      <family val="2"/>
    </font>
    <font>
      <b/>
      <sz val="14"/>
      <color indexed="9"/>
      <name val="Arial"/>
      <family val="2"/>
    </font>
    <font>
      <b/>
      <sz val="12"/>
      <color indexed="9"/>
      <name val="Arial"/>
      <family val="2"/>
    </font>
    <font>
      <b/>
      <sz val="11"/>
      <color indexed="9"/>
      <name val="Arial"/>
      <family val="2"/>
    </font>
    <font>
      <sz val="9"/>
      <color indexed="9"/>
      <name val="Arial"/>
      <family val="2"/>
    </font>
    <font>
      <b/>
      <sz val="10"/>
      <color indexed="12"/>
      <name val="Arial"/>
      <family val="2"/>
    </font>
    <font>
      <sz val="8"/>
      <name val="Times New Roman"/>
      <family val="1"/>
    </font>
    <font>
      <b/>
      <vertAlign val="subscript"/>
      <sz val="12"/>
      <name val="Arial"/>
      <family val="2"/>
    </font>
    <font>
      <vertAlign val="superscript"/>
      <sz val="10"/>
      <name val="Arial"/>
      <family val="2"/>
    </font>
    <font>
      <b/>
      <vertAlign val="subscript"/>
      <sz val="10"/>
      <name val="Arial"/>
      <family val="2"/>
    </font>
    <font>
      <b/>
      <vertAlign val="subscript"/>
      <sz val="9"/>
      <name val="Arial"/>
      <family val="2"/>
    </font>
    <font>
      <sz val="10"/>
      <color indexed="9"/>
      <name val="Arial"/>
      <family val="2"/>
    </font>
    <font>
      <sz val="8"/>
      <color indexed="9"/>
      <name val="Times New Roman"/>
      <family val="1"/>
    </font>
    <font>
      <b/>
      <vertAlign val="superscript"/>
      <sz val="9"/>
      <name val="Arial"/>
      <family val="2"/>
    </font>
    <font>
      <sz val="10"/>
      <name val="Symbol"/>
      <family val="1"/>
      <charset val="2"/>
    </font>
    <font>
      <vertAlign val="subscript"/>
      <sz val="10"/>
      <name val="Arial"/>
      <family val="2"/>
    </font>
    <font>
      <vertAlign val="subscript"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sz val="12"/>
      <color indexed="9"/>
      <name val="Arial"/>
      <family val="2"/>
    </font>
    <font>
      <vertAlign val="superscript"/>
      <sz val="9"/>
      <name val="Arial"/>
      <family val="2"/>
    </font>
    <font>
      <b/>
      <sz val="10"/>
      <name val="Symbol"/>
      <family val="1"/>
      <charset val="2"/>
    </font>
    <font>
      <b/>
      <vertAlign val="subscript"/>
      <sz val="11"/>
      <name val="Arial"/>
      <family val="2"/>
    </font>
    <font>
      <b/>
      <sz val="9"/>
      <name val="Symbol"/>
      <family val="1"/>
      <charset val="2"/>
    </font>
    <font>
      <b/>
      <i/>
      <sz val="9"/>
      <name val="Arial"/>
      <family val="2"/>
    </font>
    <font>
      <sz val="8"/>
      <color indexed="18"/>
      <name val="Arial"/>
      <family val="2"/>
    </font>
    <font>
      <b/>
      <sz val="10"/>
      <color indexed="20"/>
      <name val="Arial"/>
      <family val="2"/>
    </font>
    <font>
      <sz val="8"/>
      <color indexed="20"/>
      <name val="Arial"/>
      <family val="2"/>
    </font>
    <font>
      <sz val="10"/>
      <color indexed="2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vertAlign val="superscript"/>
      <sz val="10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9"/>
      <color indexed="20"/>
      <name val="Tahoma"/>
      <family val="2"/>
    </font>
    <font>
      <b/>
      <vertAlign val="subscript"/>
      <sz val="10"/>
      <color indexed="81"/>
      <name val="Tahoma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vertAlign val="superscript"/>
      <sz val="12"/>
      <name val="Arial"/>
      <family val="2"/>
    </font>
    <font>
      <b/>
      <sz val="9"/>
      <color indexed="63"/>
      <name val="Arial"/>
      <family val="2"/>
    </font>
    <font>
      <sz val="11"/>
      <color indexed="9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indexed="9"/>
      <name val="Symbol"/>
      <family val="1"/>
      <charset val="2"/>
    </font>
    <font>
      <sz val="11"/>
      <color indexed="9"/>
      <name val="Arial"/>
      <family val="2"/>
    </font>
    <font>
      <i/>
      <sz val="10"/>
      <name val="Arial"/>
      <family val="2"/>
    </font>
    <font>
      <b/>
      <sz val="10"/>
      <color indexed="18"/>
      <name val="Tahoma"/>
      <family val="2"/>
    </font>
    <font>
      <sz val="10"/>
      <color indexed="18"/>
      <name val="Tahoma"/>
      <family val="2"/>
    </font>
    <font>
      <sz val="9"/>
      <color indexed="18"/>
      <name val="Arial"/>
      <family val="2"/>
    </font>
    <font>
      <sz val="8"/>
      <name val="Arial"/>
      <family val="2"/>
    </font>
    <font>
      <sz val="14"/>
      <color indexed="9"/>
      <name val="Arial"/>
      <family val="2"/>
    </font>
    <font>
      <sz val="15"/>
      <color indexed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vertAlign val="superscript"/>
      <sz val="11"/>
      <color indexed="9"/>
      <name val="Arial"/>
      <family val="2"/>
    </font>
    <font>
      <b/>
      <sz val="9"/>
      <color indexed="18"/>
      <name val="Tahoma"/>
      <family val="2"/>
    </font>
    <font>
      <sz val="9"/>
      <color indexed="18"/>
      <name val="Tahoma"/>
      <family val="2"/>
    </font>
    <font>
      <sz val="12"/>
      <name val="Times New Roman"/>
      <family val="1"/>
    </font>
    <font>
      <vertAlign val="subscript"/>
      <sz val="11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vertAlign val="superscript"/>
      <sz val="9"/>
      <color indexed="81"/>
      <name val="Tahoma"/>
      <family val="2"/>
    </font>
    <font>
      <sz val="8"/>
      <color indexed="9"/>
      <name val="Arial"/>
      <family val="2"/>
    </font>
    <font>
      <sz val="9"/>
      <color indexed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color rgb="FFFF0000"/>
      <name val="Arial"/>
      <family val="2"/>
    </font>
    <font>
      <sz val="15"/>
      <color theme="0"/>
      <name val="Arial"/>
      <family val="2"/>
    </font>
    <font>
      <sz val="14"/>
      <color theme="0"/>
      <name val="Arial"/>
      <family val="2"/>
    </font>
    <font>
      <b/>
      <sz val="8"/>
      <color rgb="FFFFFFFF"/>
      <name val="Arial"/>
      <family val="2"/>
    </font>
    <font>
      <sz val="9"/>
      <color theme="0"/>
      <name val="Arial"/>
      <family val="2"/>
    </font>
    <font>
      <vertAlign val="subscript"/>
      <sz val="10"/>
      <color theme="0"/>
      <name val="Arial"/>
      <family val="2"/>
    </font>
    <font>
      <sz val="10"/>
      <color theme="0"/>
      <name val="Symbol"/>
      <family val="1"/>
      <charset val="2"/>
    </font>
    <font>
      <vertAlign val="superscript"/>
      <sz val="9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9" tint="-0.25098422193060094"/>
        </stop>
        <stop position="1">
          <color theme="9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gradientFill degree="90">
        <stop position="0">
          <color theme="9" tint="-0.49803155613879818"/>
        </stop>
        <stop position="0.5">
          <color theme="9" tint="-0.25098422193060094"/>
        </stop>
        <stop position="1">
          <color theme="9" tint="-0.49803155613879818"/>
        </stop>
      </gradientFill>
    </fill>
    <fill>
      <gradientFill degree="90">
        <stop position="0">
          <color theme="0" tint="-0.34900967436750391"/>
        </stop>
        <stop position="0.5">
          <color theme="0" tint="-0.49803155613879818"/>
        </stop>
        <stop position="1">
          <color theme="0" tint="-0.34900967436750391"/>
        </stop>
      </gradient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140">
    <border>
      <left/>
      <right/>
      <top/>
      <bottom/>
      <diagonal/>
    </border>
    <border>
      <left style="thick">
        <color indexed="9"/>
      </left>
      <right/>
      <top/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/>
      <top/>
      <bottom style="thick">
        <color indexed="9"/>
      </bottom>
      <diagonal/>
    </border>
    <border>
      <left/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 style="double">
        <color indexed="64"/>
      </bottom>
      <diagonal/>
    </border>
    <border>
      <left/>
      <right style="thin">
        <color indexed="64"/>
      </right>
      <top/>
      <bottom style="thick">
        <color indexed="9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9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9"/>
      </left>
      <right style="thin">
        <color indexed="9"/>
      </right>
      <top/>
      <bottom style="thick">
        <color indexed="9"/>
      </bottom>
      <diagonal/>
    </border>
    <border>
      <left/>
      <right style="medium">
        <color indexed="64"/>
      </right>
      <top/>
      <bottom style="thick">
        <color indexed="9"/>
      </bottom>
      <diagonal/>
    </border>
    <border>
      <left style="medium">
        <color indexed="64"/>
      </left>
      <right style="thin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64"/>
      </right>
      <top style="thick">
        <color indexed="9"/>
      </top>
      <bottom style="thick">
        <color indexed="9"/>
      </bottom>
      <diagonal/>
    </border>
    <border>
      <left style="thin">
        <color indexed="64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n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double">
        <color indexed="9"/>
      </right>
      <top/>
      <bottom style="double">
        <color indexed="9"/>
      </bottom>
      <diagonal/>
    </border>
    <border>
      <left/>
      <right/>
      <top style="thick">
        <color indexed="9"/>
      </top>
      <bottom/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n">
        <color indexed="64"/>
      </left>
      <right style="thin">
        <color indexed="64"/>
      </right>
      <top/>
      <bottom style="thick">
        <color indexed="9"/>
      </bottom>
      <diagonal/>
    </border>
    <border>
      <left style="thin">
        <color indexed="9"/>
      </left>
      <right style="thin">
        <color indexed="9"/>
      </right>
      <top style="thick">
        <color indexed="9"/>
      </top>
      <bottom style="thick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64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64"/>
      </right>
      <top style="thick">
        <color indexed="9"/>
      </top>
      <bottom/>
      <diagonal/>
    </border>
    <border>
      <left style="medium">
        <color indexed="64"/>
      </left>
      <right style="thin">
        <color indexed="64"/>
      </right>
      <top style="thick">
        <color indexed="9"/>
      </top>
      <bottom/>
      <diagonal/>
    </border>
    <border>
      <left style="thin">
        <color indexed="64"/>
      </left>
      <right/>
      <top style="thick">
        <color indexed="9"/>
      </top>
      <bottom/>
      <diagonal/>
    </border>
    <border>
      <left/>
      <right style="thin">
        <color indexed="64"/>
      </right>
      <top style="thick">
        <color indexed="9"/>
      </top>
      <bottom/>
      <diagonal/>
    </border>
    <border>
      <left style="thick">
        <color indexed="9"/>
      </left>
      <right/>
      <top style="thick">
        <color indexed="9"/>
      </top>
      <bottom/>
      <diagonal/>
    </border>
    <border>
      <left style="thin">
        <color indexed="9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/>
      <top/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9"/>
      </left>
      <right style="thin">
        <color indexed="9"/>
      </right>
      <top/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n">
        <color indexed="64"/>
      </right>
      <top/>
      <bottom style="thick">
        <color indexed="9"/>
      </bottom>
      <diagonal/>
    </border>
    <border>
      <left style="thin">
        <color indexed="64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 style="thin">
        <color indexed="9"/>
      </right>
      <top/>
      <bottom style="thick">
        <color indexed="9"/>
      </bottom>
      <diagonal/>
    </border>
    <border>
      <left/>
      <right/>
      <top style="thin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 style="thick">
        <color indexed="9"/>
      </bottom>
      <diagonal/>
    </border>
    <border>
      <left style="thin">
        <color indexed="9"/>
      </left>
      <right style="thick">
        <color indexed="9"/>
      </right>
      <top/>
      <bottom style="thin">
        <color indexed="9"/>
      </bottom>
      <diagonal/>
    </border>
    <border>
      <left style="thick">
        <color indexed="9"/>
      </left>
      <right style="thin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9"/>
      </left>
      <right/>
      <top/>
      <bottom style="thick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ck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 style="thick">
        <color indexed="9"/>
      </top>
      <bottom/>
      <diagonal/>
    </border>
    <border>
      <left style="thin">
        <color indexed="9"/>
      </left>
      <right/>
      <top style="thick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ck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ck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ck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ck">
        <color indexed="9"/>
      </bottom>
      <diagonal/>
    </border>
    <border>
      <left style="thick">
        <color indexed="9"/>
      </left>
      <right/>
      <top style="thin">
        <color indexed="55"/>
      </top>
      <bottom style="thin">
        <color indexed="55"/>
      </bottom>
      <diagonal/>
    </border>
    <border>
      <left/>
      <right style="thick">
        <color indexed="9"/>
      </right>
      <top style="thin">
        <color indexed="55"/>
      </top>
      <bottom style="thin">
        <color indexed="55"/>
      </bottom>
      <diagonal/>
    </border>
    <border>
      <left style="thick">
        <color indexed="9"/>
      </left>
      <right style="thin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55"/>
      </top>
      <bottom style="thin">
        <color indexed="55"/>
      </bottom>
      <diagonal/>
    </border>
    <border>
      <left style="thin">
        <color indexed="9"/>
      </left>
      <right style="thick">
        <color indexed="9"/>
      </right>
      <top style="thin">
        <color indexed="55"/>
      </top>
      <bottom style="thin">
        <color indexed="55"/>
      </bottom>
      <diagonal/>
    </border>
    <border>
      <left/>
      <right style="thin">
        <color indexed="9"/>
      </right>
      <top style="thin">
        <color indexed="55"/>
      </top>
      <bottom style="thin">
        <color indexed="55"/>
      </bottom>
      <diagonal/>
    </border>
    <border>
      <left/>
      <right style="thin">
        <color indexed="9"/>
      </right>
      <top/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ck">
        <color indexed="9"/>
      </top>
      <bottom style="thin">
        <color indexed="9"/>
      </bottom>
      <diagonal/>
    </border>
    <border>
      <left style="thick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 style="thick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ck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ck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22"/>
      </top>
      <bottom style="thick">
        <color indexed="22"/>
      </bottom>
      <diagonal/>
    </border>
    <border>
      <left style="thick">
        <color indexed="22"/>
      </left>
      <right/>
      <top style="thick">
        <color indexed="22"/>
      </top>
      <bottom style="thick">
        <color indexed="22"/>
      </bottom>
      <diagonal/>
    </border>
    <border>
      <left/>
      <right/>
      <top style="thick">
        <color indexed="22"/>
      </top>
      <bottom style="thick">
        <color indexed="22"/>
      </bottom>
      <diagonal/>
    </border>
    <border>
      <left/>
      <right style="thin">
        <color indexed="9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n">
        <color indexed="55"/>
      </bottom>
      <diagonal/>
    </border>
    <border>
      <left/>
      <right/>
      <top style="thick">
        <color indexed="9"/>
      </top>
      <bottom style="thin">
        <color indexed="55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double">
        <color indexed="55"/>
      </top>
      <bottom style="thick">
        <color indexed="9"/>
      </bottom>
      <diagonal/>
    </border>
    <border>
      <left/>
      <right/>
      <top style="double">
        <color indexed="55"/>
      </top>
      <bottom style="thick">
        <color indexed="9"/>
      </bottom>
      <diagonal/>
    </border>
    <border>
      <left style="thin">
        <color indexed="9"/>
      </left>
      <right style="thin">
        <color indexed="9"/>
      </right>
      <top style="thick">
        <color indexed="9"/>
      </top>
      <bottom/>
      <diagonal/>
    </border>
    <border>
      <left style="thick">
        <color indexed="9"/>
      </left>
      <right/>
      <top style="thin">
        <color indexed="22"/>
      </top>
      <bottom style="thin">
        <color indexed="22"/>
      </bottom>
      <diagonal/>
    </border>
    <border>
      <left/>
      <right style="thick">
        <color indexed="9"/>
      </right>
      <top style="thin">
        <color indexed="9"/>
      </top>
      <bottom style="thick">
        <color indexed="9"/>
      </bottom>
      <diagonal/>
    </border>
    <border>
      <left/>
      <right/>
      <top style="thin">
        <color indexed="22"/>
      </top>
      <bottom/>
      <diagonal/>
    </border>
    <border>
      <left/>
      <right style="thick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9"/>
      </left>
      <right style="thick">
        <color indexed="9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/>
      <bottom style="thin">
        <color indexed="22"/>
      </bottom>
      <diagonal/>
    </border>
    <border>
      <left style="thin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n">
        <color indexed="9"/>
      </top>
      <bottom style="thick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n">
        <color indexed="9"/>
      </right>
      <top style="thin">
        <color indexed="9"/>
      </top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n">
        <color indexed="55"/>
      </bottom>
      <diagonal/>
    </border>
    <border>
      <left style="thick">
        <color indexed="9"/>
      </left>
      <right/>
      <top style="thick">
        <color indexed="9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ck">
        <color indexed="9"/>
      </top>
      <bottom style="double">
        <color indexed="55"/>
      </bottom>
      <diagonal/>
    </border>
    <border>
      <left style="thick">
        <color indexed="9"/>
      </left>
      <right/>
      <top style="double">
        <color indexed="55"/>
      </top>
      <bottom style="thick">
        <color indexed="9"/>
      </bottom>
      <diagonal/>
    </border>
    <border>
      <left/>
      <right/>
      <top style="double">
        <color indexed="55"/>
      </top>
      <bottom/>
      <diagonal/>
    </border>
    <border>
      <left/>
      <right style="thick">
        <color indexed="9"/>
      </right>
      <top style="double">
        <color indexed="55"/>
      </top>
      <bottom style="thick">
        <color indexed="9"/>
      </bottom>
      <diagonal/>
    </border>
    <border>
      <left style="thick">
        <color indexed="9"/>
      </left>
      <right style="thin">
        <color indexed="9"/>
      </right>
      <top/>
      <bottom style="double">
        <color indexed="55"/>
      </bottom>
      <diagonal/>
    </border>
    <border>
      <left style="thick">
        <color indexed="9"/>
      </left>
      <right/>
      <top style="thick">
        <color indexed="9"/>
      </top>
      <bottom style="thin">
        <color indexed="22"/>
      </bottom>
      <diagonal/>
    </border>
    <border>
      <left/>
      <right/>
      <top style="thick">
        <color indexed="9"/>
      </top>
      <bottom style="thin">
        <color indexed="22"/>
      </bottom>
      <diagonal/>
    </border>
    <border>
      <left/>
      <right style="thick">
        <color indexed="9"/>
      </right>
      <top style="thick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indexed="9"/>
      </left>
      <right style="thick">
        <color indexed="9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ck">
        <color indexed="9"/>
      </right>
      <top style="medium">
        <color theme="0" tint="-0.24994659260841701"/>
      </top>
      <bottom style="thick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 style="thick">
        <color theme="0"/>
      </left>
      <right style="thick">
        <color theme="0"/>
      </right>
      <top style="medium">
        <color theme="0" tint="-0.24994659260841701"/>
      </top>
      <bottom style="thick">
        <color theme="0" tint="-0.24994659260841701"/>
      </bottom>
      <diagonal/>
    </border>
    <border>
      <left style="thick">
        <color indexed="9"/>
      </left>
      <right style="thick">
        <color indexed="9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indexed="9"/>
      </left>
      <right style="thick">
        <color indexed="9"/>
      </right>
      <top style="medium">
        <color theme="0" tint="-0.24994659260841701"/>
      </top>
      <bottom/>
      <diagonal/>
    </border>
    <border>
      <left style="thin">
        <color indexed="9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307">
    <xf numFmtId="0" fontId="0" fillId="0" borderId="0" xfId="0"/>
    <xf numFmtId="0" fontId="0" fillId="2" borderId="0" xfId="0" applyFill="1"/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0" xfId="0" applyAlignment="1">
      <alignment horizontal="center"/>
    </xf>
    <xf numFmtId="0" fontId="17" fillId="0" borderId="0" xfId="0" applyFont="1"/>
    <xf numFmtId="0" fontId="4" fillId="2" borderId="0" xfId="0" applyFont="1" applyFill="1" applyAlignment="1">
      <alignment horizontal="center" vertical="justify"/>
    </xf>
    <xf numFmtId="0" fontId="0" fillId="2" borderId="0" xfId="0" applyFill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2" xfId="0" applyNumberFormat="1" applyBorder="1"/>
    <xf numFmtId="164" fontId="0" fillId="0" borderId="1" xfId="0" applyNumberFormat="1" applyBorder="1"/>
    <xf numFmtId="164" fontId="0" fillId="0" borderId="3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9" fillId="3" borderId="5" xfId="0" applyFont="1" applyFill="1" applyBorder="1" applyAlignment="1">
      <alignment horizontal="center"/>
    </xf>
    <xf numFmtId="0" fontId="3" fillId="0" borderId="0" xfId="0" applyFo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vertical="top" wrapText="1"/>
      <protection hidden="1"/>
    </xf>
    <xf numFmtId="0" fontId="7" fillId="5" borderId="0" xfId="0" applyFont="1" applyFill="1" applyAlignment="1" applyProtection="1">
      <alignment horizontal="right" vertical="center"/>
      <protection hidden="1"/>
    </xf>
    <xf numFmtId="0" fontId="2" fillId="5" borderId="0" xfId="0" applyFont="1" applyFill="1" applyProtection="1">
      <protection hidden="1"/>
    </xf>
    <xf numFmtId="0" fontId="5" fillId="0" borderId="0" xfId="0" applyFont="1" applyProtection="1">
      <protection hidden="1"/>
    </xf>
    <xf numFmtId="0" fontId="0" fillId="0" borderId="2" xfId="0" applyBorder="1" applyProtection="1">
      <protection hidden="1"/>
    </xf>
    <xf numFmtId="0" fontId="0" fillId="5" borderId="7" xfId="0" applyFill="1" applyBorder="1" applyAlignment="1" applyProtection="1">
      <alignment vertical="center"/>
      <protection hidden="1"/>
    </xf>
    <xf numFmtId="0" fontId="0" fillId="2" borderId="7" xfId="0" applyFill="1" applyBorder="1" applyAlignment="1" applyProtection="1">
      <alignment vertical="center"/>
      <protection hidden="1"/>
    </xf>
    <xf numFmtId="0" fontId="5" fillId="0" borderId="8" xfId="0" applyFont="1" applyBorder="1" applyProtection="1">
      <protection hidden="1"/>
    </xf>
    <xf numFmtId="165" fontId="5" fillId="0" borderId="8" xfId="0" applyNumberFormat="1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5" fontId="5" fillId="0" borderId="2" xfId="0" applyNumberFormat="1" applyFont="1" applyBorder="1" applyAlignment="1" applyProtection="1">
      <alignment horizontal="center" vertical="center" wrapText="1"/>
      <protection hidden="1"/>
    </xf>
    <xf numFmtId="165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3" xfId="0" applyBorder="1" applyProtection="1">
      <protection hidden="1"/>
    </xf>
    <xf numFmtId="0" fontId="0" fillId="0" borderId="7" xfId="0" applyBorder="1" applyProtection="1">
      <protection hidden="1"/>
    </xf>
    <xf numFmtId="165" fontId="2" fillId="0" borderId="3" xfId="0" applyNumberFormat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vertical="center"/>
      <protection hidden="1"/>
    </xf>
    <xf numFmtId="0" fontId="0" fillId="2" borderId="10" xfId="0" applyFill="1" applyBorder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165" fontId="2" fillId="2" borderId="11" xfId="0" applyNumberFormat="1" applyFont="1" applyFill="1" applyBorder="1" applyAlignment="1" applyProtection="1">
      <alignment vertical="center"/>
      <protection hidden="1"/>
    </xf>
    <xf numFmtId="0" fontId="0" fillId="2" borderId="12" xfId="0" applyFill="1" applyBorder="1" applyAlignment="1" applyProtection="1">
      <alignment horizontal="center" vertical="center"/>
      <protection hidden="1"/>
    </xf>
    <xf numFmtId="164" fontId="0" fillId="4" borderId="13" xfId="0" applyNumberFormat="1" applyFill="1" applyBorder="1" applyAlignment="1" applyProtection="1">
      <alignment vertical="center"/>
      <protection hidden="1"/>
    </xf>
    <xf numFmtId="165" fontId="2" fillId="3" borderId="15" xfId="0" applyNumberFormat="1" applyFont="1" applyFill="1" applyBorder="1" applyAlignment="1" applyProtection="1">
      <alignment vertical="center"/>
      <protection hidden="1"/>
    </xf>
    <xf numFmtId="49" fontId="2" fillId="6" borderId="16" xfId="0" applyNumberFormat="1" applyFont="1" applyFill="1" applyBorder="1" applyAlignment="1" applyProtection="1">
      <alignment vertical="center"/>
      <protection hidden="1"/>
    </xf>
    <xf numFmtId="167" fontId="2" fillId="3" borderId="17" xfId="0" applyNumberFormat="1" applyFont="1" applyFill="1" applyBorder="1" applyAlignment="1" applyProtection="1">
      <alignment vertical="center"/>
      <protection hidden="1"/>
    </xf>
    <xf numFmtId="165" fontId="25" fillId="0" borderId="0" xfId="0" applyNumberFormat="1" applyFont="1" applyAlignment="1" applyProtection="1">
      <alignment vertical="center"/>
      <protection hidden="1"/>
    </xf>
    <xf numFmtId="167" fontId="2" fillId="3" borderId="18" xfId="0" applyNumberFormat="1" applyFont="1" applyFill="1" applyBorder="1" applyAlignment="1" applyProtection="1">
      <alignment vertical="center"/>
      <protection hidden="1"/>
    </xf>
    <xf numFmtId="165" fontId="25" fillId="0" borderId="12" xfId="0" applyNumberFormat="1" applyFont="1" applyBorder="1" applyAlignment="1" applyProtection="1">
      <alignment vertical="center"/>
      <protection hidden="1"/>
    </xf>
    <xf numFmtId="167" fontId="2" fillId="3" borderId="6" xfId="0" applyNumberFormat="1" applyFont="1" applyFill="1" applyBorder="1" applyAlignment="1" applyProtection="1">
      <alignment vertical="center"/>
      <protection hidden="1"/>
    </xf>
    <xf numFmtId="164" fontId="0" fillId="4" borderId="4" xfId="0" applyNumberFormat="1" applyFill="1" applyBorder="1" applyAlignment="1" applyProtection="1">
      <alignment vertical="center"/>
      <protection hidden="1"/>
    </xf>
    <xf numFmtId="167" fontId="5" fillId="7" borderId="19" xfId="0" applyNumberFormat="1" applyFont="1" applyFill="1" applyBorder="1" applyAlignment="1" applyProtection="1">
      <alignment vertical="center"/>
      <protection hidden="1"/>
    </xf>
    <xf numFmtId="165" fontId="25" fillId="8" borderId="20" xfId="0" applyNumberFormat="1" applyFont="1" applyFill="1" applyBorder="1" applyAlignment="1" applyProtection="1">
      <alignment vertical="center"/>
      <protection hidden="1"/>
    </xf>
    <xf numFmtId="1" fontId="0" fillId="0" borderId="2" xfId="0" applyNumberFormat="1" applyBorder="1" applyAlignment="1" applyProtection="1">
      <alignment horizontal="right"/>
      <protection hidden="1"/>
    </xf>
    <xf numFmtId="2" fontId="2" fillId="0" borderId="19" xfId="0" applyNumberFormat="1" applyFont="1" applyBorder="1" applyAlignment="1" applyProtection="1">
      <alignment horizontal="center"/>
      <protection hidden="1"/>
    </xf>
    <xf numFmtId="1" fontId="0" fillId="0" borderId="19" xfId="0" applyNumberFormat="1" applyBorder="1" applyProtection="1">
      <protection hidden="1"/>
    </xf>
    <xf numFmtId="1" fontId="0" fillId="0" borderId="21" xfId="0" applyNumberFormat="1" applyBorder="1" applyProtection="1">
      <protection hidden="1"/>
    </xf>
    <xf numFmtId="164" fontId="0" fillId="0" borderId="21" xfId="0" applyNumberFormat="1" applyBorder="1" applyProtection="1">
      <protection hidden="1"/>
    </xf>
    <xf numFmtId="165" fontId="0" fillId="0" borderId="19" xfId="0" applyNumberFormat="1" applyBorder="1" applyProtection="1">
      <protection hidden="1"/>
    </xf>
    <xf numFmtId="165" fontId="5" fillId="0" borderId="21" xfId="0" applyNumberFormat="1" applyFont="1" applyBorder="1" applyProtection="1">
      <protection hidden="1"/>
    </xf>
    <xf numFmtId="0" fontId="0" fillId="0" borderId="21" xfId="0" applyBorder="1" applyAlignment="1" applyProtection="1">
      <alignment horizontal="center"/>
      <protection hidden="1"/>
    </xf>
    <xf numFmtId="2" fontId="5" fillId="0" borderId="21" xfId="0" applyNumberFormat="1" applyFont="1" applyBorder="1" applyProtection="1">
      <protection hidden="1"/>
    </xf>
    <xf numFmtId="2" fontId="5" fillId="0" borderId="21" xfId="0" applyNumberFormat="1" applyFont="1" applyBorder="1" applyAlignment="1" applyProtection="1">
      <alignment horizontal="center"/>
      <protection hidden="1"/>
    </xf>
    <xf numFmtId="2" fontId="0" fillId="0" borderId="19" xfId="0" applyNumberFormat="1" applyBorder="1" applyProtection="1">
      <protection hidden="1"/>
    </xf>
    <xf numFmtId="2" fontId="0" fillId="0" borderId="0" xfId="0" applyNumberFormat="1" applyProtection="1">
      <protection hidden="1"/>
    </xf>
    <xf numFmtId="2" fontId="5" fillId="0" borderId="0" xfId="0" applyNumberFormat="1" applyFont="1" applyAlignment="1" applyProtection="1">
      <alignment horizontal="center"/>
      <protection hidden="1"/>
    </xf>
    <xf numFmtId="1" fontId="9" fillId="0" borderId="2" xfId="0" applyNumberFormat="1" applyFont="1" applyBorder="1" applyAlignment="1" applyProtection="1">
      <alignment horizontal="right"/>
      <protection hidden="1"/>
    </xf>
    <xf numFmtId="0" fontId="9" fillId="0" borderId="0" xfId="0" applyFont="1" applyProtection="1">
      <protection hidden="1"/>
    </xf>
    <xf numFmtId="164" fontId="9" fillId="0" borderId="0" xfId="0" applyNumberFormat="1" applyFont="1" applyProtection="1">
      <protection hidden="1"/>
    </xf>
    <xf numFmtId="2" fontId="20" fillId="0" borderId="21" xfId="0" applyNumberFormat="1" applyFont="1" applyBorder="1" applyProtection="1">
      <protection hidden="1"/>
    </xf>
    <xf numFmtId="2" fontId="9" fillId="0" borderId="19" xfId="0" applyNumberFormat="1" applyFont="1" applyBorder="1" applyProtection="1">
      <protection hidden="1"/>
    </xf>
    <xf numFmtId="2" fontId="9" fillId="0" borderId="21" xfId="0" applyNumberFormat="1" applyFont="1" applyBorder="1" applyProtection="1">
      <protection hidden="1"/>
    </xf>
    <xf numFmtId="2" fontId="9" fillId="0" borderId="21" xfId="0" applyNumberFormat="1" applyFont="1" applyBorder="1" applyAlignment="1" applyProtection="1">
      <alignment horizontal="center"/>
      <protection hidden="1"/>
    </xf>
    <xf numFmtId="2" fontId="9" fillId="0" borderId="0" xfId="0" applyNumberFormat="1" applyFont="1" applyProtection="1">
      <protection hidden="1"/>
    </xf>
    <xf numFmtId="2" fontId="9" fillId="0" borderId="0" xfId="0" applyNumberFormat="1" applyFont="1" applyAlignment="1" applyProtection="1">
      <alignment horizontal="center"/>
      <protection hidden="1"/>
    </xf>
    <xf numFmtId="1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164" fontId="0" fillId="0" borderId="3" xfId="0" applyNumberFormat="1" applyBorder="1" applyProtection="1">
      <protection hidden="1"/>
    </xf>
    <xf numFmtId="0" fontId="0" fillId="0" borderId="22" xfId="0" applyBorder="1" applyProtection="1">
      <protection hidden="1"/>
    </xf>
    <xf numFmtId="0" fontId="0" fillId="2" borderId="23" xfId="0" applyFill="1" applyBorder="1" applyProtection="1">
      <protection hidden="1"/>
    </xf>
    <xf numFmtId="0" fontId="18" fillId="0" borderId="23" xfId="0" applyFont="1" applyBorder="1" applyAlignment="1" applyProtection="1">
      <alignment horizontal="left"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5" fillId="0" borderId="24" xfId="0" applyNumberFormat="1" applyFont="1" applyBorder="1" applyAlignment="1" applyProtection="1">
      <alignment horizontal="center" vertical="center" wrapText="1"/>
      <protection hidden="1"/>
    </xf>
    <xf numFmtId="0" fontId="0" fillId="5" borderId="0" xfId="0" applyFill="1" applyAlignment="1" applyProtection="1">
      <alignment horizontal="right"/>
      <protection hidden="1"/>
    </xf>
    <xf numFmtId="0" fontId="14" fillId="5" borderId="0" xfId="0" applyFont="1" applyFill="1" applyProtection="1"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24" xfId="0" applyBorder="1" applyProtection="1">
      <protection hidden="1"/>
    </xf>
    <xf numFmtId="0" fontId="0" fillId="2" borderId="25" xfId="0" applyFill="1" applyBorder="1" applyAlignment="1" applyProtection="1">
      <alignment vertical="center"/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11" xfId="0" applyFill="1" applyBorder="1" applyAlignment="1" applyProtection="1">
      <alignment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165" fontId="25" fillId="8" borderId="3" xfId="0" applyNumberFormat="1" applyFont="1" applyFill="1" applyBorder="1" applyAlignment="1" applyProtection="1">
      <alignment vertical="center"/>
      <protection hidden="1"/>
    </xf>
    <xf numFmtId="1" fontId="2" fillId="0" borderId="3" xfId="0" applyNumberFormat="1" applyFont="1" applyBorder="1" applyAlignment="1" applyProtection="1">
      <alignment horizontal="right"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2" fontId="5" fillId="0" borderId="3" xfId="0" applyNumberFormat="1" applyFont="1" applyBorder="1" applyAlignment="1" applyProtection="1">
      <alignment vertical="center"/>
      <protection hidden="1"/>
    </xf>
    <xf numFmtId="165" fontId="2" fillId="0" borderId="14" xfId="0" applyNumberFormat="1" applyFont="1" applyBorder="1" applyAlignment="1" applyProtection="1">
      <alignment vertical="center"/>
      <protection hidden="1"/>
    </xf>
    <xf numFmtId="165" fontId="2" fillId="0" borderId="7" xfId="0" applyNumberFormat="1" applyFont="1" applyBorder="1" applyAlignment="1" applyProtection="1">
      <alignment vertical="center"/>
      <protection hidden="1"/>
    </xf>
    <xf numFmtId="12" fontId="2" fillId="0" borderId="4" xfId="0" applyNumberFormat="1" applyFont="1" applyBorder="1" applyAlignment="1" applyProtection="1">
      <alignment horizontal="center" vertical="center"/>
      <protection hidden="1"/>
    </xf>
    <xf numFmtId="166" fontId="5" fillId="0" borderId="6" xfId="0" applyNumberFormat="1" applyFont="1" applyBorder="1" applyAlignment="1" applyProtection="1">
      <alignment vertical="center"/>
      <protection hidden="1"/>
    </xf>
    <xf numFmtId="2" fontId="2" fillId="0" borderId="24" xfId="0" applyNumberFormat="1" applyFont="1" applyBorder="1" applyAlignment="1" applyProtection="1">
      <alignment horizontal="center" vertical="center"/>
      <protection hidden="1"/>
    </xf>
    <xf numFmtId="2" fontId="2" fillId="0" borderId="26" xfId="0" applyNumberFormat="1" applyFont="1" applyBorder="1" applyAlignment="1" applyProtection="1">
      <alignment horizontal="center" vertical="center"/>
      <protection hidden="1"/>
    </xf>
    <xf numFmtId="164" fontId="0" fillId="0" borderId="21" xfId="0" applyNumberFormat="1" applyBorder="1" applyAlignment="1" applyProtection="1">
      <alignment vertical="center"/>
      <protection hidden="1"/>
    </xf>
    <xf numFmtId="2" fontId="0" fillId="0" borderId="21" xfId="0" applyNumberFormat="1" applyBorder="1" applyAlignment="1" applyProtection="1">
      <alignment vertical="center"/>
      <protection hidden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1" fontId="0" fillId="0" borderId="19" xfId="0" applyNumberForma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164" fontId="2" fillId="0" borderId="14" xfId="0" applyNumberFormat="1" applyFont="1" applyBorder="1" applyAlignment="1" applyProtection="1">
      <alignment vertic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2" fontId="5" fillId="0" borderId="7" xfId="0" applyNumberFormat="1" applyFont="1" applyBorder="1" applyAlignment="1" applyProtection="1">
      <alignment vertical="center"/>
      <protection hidden="1"/>
    </xf>
    <xf numFmtId="165" fontId="5" fillId="9" borderId="3" xfId="0" applyNumberFormat="1" applyFont="1" applyFill="1" applyBorder="1" applyAlignment="1" applyProtection="1">
      <alignment vertical="center"/>
      <protection hidden="1"/>
    </xf>
    <xf numFmtId="0" fontId="21" fillId="0" borderId="0" xfId="0" applyFont="1"/>
    <xf numFmtId="0" fontId="14" fillId="0" borderId="0" xfId="0" applyFont="1"/>
    <xf numFmtId="0" fontId="0" fillId="2" borderId="23" xfId="0" applyFill="1" applyBorder="1" applyAlignment="1" applyProtection="1">
      <alignment vertical="center"/>
      <protection hidden="1"/>
    </xf>
    <xf numFmtId="167" fontId="5" fillId="7" borderId="29" xfId="0" applyNumberFormat="1" applyFont="1" applyFill="1" applyBorder="1" applyAlignment="1" applyProtection="1">
      <alignment vertical="center"/>
      <protection hidden="1"/>
    </xf>
    <xf numFmtId="0" fontId="0" fillId="2" borderId="30" xfId="0" applyFill="1" applyBorder="1" applyAlignment="1" applyProtection="1">
      <alignment vertical="center"/>
      <protection hidden="1"/>
    </xf>
    <xf numFmtId="0" fontId="2" fillId="2" borderId="31" xfId="0" applyFont="1" applyFill="1" applyBorder="1" applyAlignment="1" applyProtection="1">
      <alignment vertical="center"/>
      <protection hidden="1"/>
    </xf>
    <xf numFmtId="0" fontId="2" fillId="2" borderId="32" xfId="0" applyFont="1" applyFill="1" applyBorder="1" applyAlignment="1" applyProtection="1">
      <alignment vertical="center"/>
      <protection hidden="1"/>
    </xf>
    <xf numFmtId="0" fontId="2" fillId="2" borderId="23" xfId="0" applyFont="1" applyFill="1" applyBorder="1" applyAlignment="1" applyProtection="1">
      <alignment vertical="center"/>
      <protection hidden="1"/>
    </xf>
    <xf numFmtId="0" fontId="2" fillId="2" borderId="33" xfId="0" applyFont="1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165" fontId="25" fillId="8" borderId="19" xfId="0" applyNumberFormat="1" applyFont="1" applyFill="1" applyBorder="1" applyAlignment="1" applyProtection="1">
      <alignment vertical="center"/>
      <protection hidden="1"/>
    </xf>
    <xf numFmtId="0" fontId="37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38" fillId="0" borderId="0" xfId="0" applyFont="1" applyAlignment="1">
      <alignment vertical="top"/>
    </xf>
    <xf numFmtId="0" fontId="39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2" fillId="0" borderId="0" xfId="0" applyFont="1"/>
    <xf numFmtId="0" fontId="5" fillId="0" borderId="0" xfId="0" applyFont="1"/>
    <xf numFmtId="0" fontId="37" fillId="0" borderId="34" xfId="0" applyFont="1" applyBorder="1" applyAlignment="1">
      <alignment vertical="top"/>
    </xf>
    <xf numFmtId="0" fontId="9" fillId="0" borderId="23" xfId="0" applyFont="1" applyBorder="1" applyAlignment="1">
      <alignment horizontal="justify" vertical="center"/>
    </xf>
    <xf numFmtId="0" fontId="37" fillId="0" borderId="24" xfId="0" applyFont="1" applyBorder="1" applyAlignment="1">
      <alignment vertical="top"/>
    </xf>
    <xf numFmtId="0" fontId="38" fillId="0" borderId="24" xfId="0" applyFont="1" applyBorder="1" applyAlignment="1">
      <alignment vertical="top"/>
    </xf>
    <xf numFmtId="0" fontId="37" fillId="0" borderId="13" xfId="0" applyFont="1" applyBorder="1" applyAlignment="1">
      <alignment vertical="top"/>
    </xf>
    <xf numFmtId="0" fontId="37" fillId="0" borderId="0" xfId="0" applyFont="1" applyAlignment="1">
      <alignment vertical="center"/>
    </xf>
    <xf numFmtId="0" fontId="37" fillId="0" borderId="1" xfId="0" applyFont="1" applyBorder="1" applyAlignment="1">
      <alignment horizontal="right" vertical="center"/>
    </xf>
    <xf numFmtId="0" fontId="37" fillId="0" borderId="13" xfId="0" applyFont="1" applyBorder="1" applyAlignment="1">
      <alignment vertical="center"/>
    </xf>
    <xf numFmtId="0" fontId="37" fillId="0" borderId="1" xfId="0" applyFont="1" applyBorder="1" applyAlignment="1">
      <alignment horizontal="right" vertical="top"/>
    </xf>
    <xf numFmtId="0" fontId="37" fillId="0" borderId="3" xfId="0" applyFont="1" applyBorder="1" applyAlignment="1">
      <alignment vertical="top"/>
    </xf>
    <xf numFmtId="0" fontId="37" fillId="0" borderId="1" xfId="0" applyFont="1" applyBorder="1" applyAlignment="1">
      <alignment vertical="top"/>
    </xf>
    <xf numFmtId="0" fontId="37" fillId="0" borderId="6" xfId="0" applyFont="1" applyBorder="1" applyAlignment="1">
      <alignment vertical="top"/>
    </xf>
    <xf numFmtId="0" fontId="9" fillId="0" borderId="24" xfId="0" applyFont="1" applyBorder="1" applyAlignment="1">
      <alignment horizontal="justify" vertical="top"/>
    </xf>
    <xf numFmtId="0" fontId="7" fillId="0" borderId="13" xfId="0" applyFont="1" applyBorder="1" applyAlignment="1">
      <alignment horizontal="right" vertical="center"/>
    </xf>
    <xf numFmtId="0" fontId="37" fillId="0" borderId="19" xfId="0" applyFont="1" applyBorder="1" applyAlignment="1">
      <alignment vertical="top" wrapText="1"/>
    </xf>
    <xf numFmtId="0" fontId="38" fillId="0" borderId="19" xfId="0" applyFont="1" applyBorder="1" applyAlignment="1">
      <alignment vertical="top"/>
    </xf>
    <xf numFmtId="0" fontId="9" fillId="0" borderId="24" xfId="0" applyFont="1" applyBorder="1" applyAlignment="1">
      <alignment horizontal="left" vertical="center"/>
    </xf>
    <xf numFmtId="0" fontId="7" fillId="0" borderId="24" xfId="0" applyFont="1" applyBorder="1" applyAlignment="1">
      <alignment horizontal="right" vertical="center"/>
    </xf>
    <xf numFmtId="0" fontId="37" fillId="0" borderId="24" xfId="0" applyFont="1" applyBorder="1" applyAlignment="1">
      <alignment vertical="top" wrapText="1"/>
    </xf>
    <xf numFmtId="2" fontId="2" fillId="9" borderId="1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6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7" fillId="11" borderId="21" xfId="0" applyFont="1" applyFill="1" applyBorder="1" applyAlignment="1" applyProtection="1">
      <alignment horizontal="center" vertical="center"/>
      <protection hidden="1"/>
    </xf>
    <xf numFmtId="0" fontId="2" fillId="11" borderId="21" xfId="0" applyFont="1" applyFill="1" applyBorder="1" applyAlignment="1" applyProtection="1">
      <alignment horizontal="center" vertical="center"/>
      <protection hidden="1"/>
    </xf>
    <xf numFmtId="0" fontId="8" fillId="11" borderId="23" xfId="0" applyFont="1" applyFill="1" applyBorder="1" applyAlignment="1" applyProtection="1">
      <alignment horizontal="right" vertical="center"/>
      <protection hidden="1"/>
    </xf>
    <xf numFmtId="0" fontId="2" fillId="11" borderId="37" xfId="0" applyFont="1" applyFill="1" applyBorder="1" applyAlignment="1" applyProtection="1">
      <alignment horizontal="center" vertical="center" wrapText="1"/>
      <protection hidden="1"/>
    </xf>
    <xf numFmtId="0" fontId="2" fillId="11" borderId="19" xfId="0" applyFont="1" applyFill="1" applyBorder="1" applyAlignment="1" applyProtection="1">
      <alignment horizontal="center" vertical="center"/>
      <protection hidden="1"/>
    </xf>
    <xf numFmtId="0" fontId="5" fillId="11" borderId="19" xfId="0" applyFont="1" applyFill="1" applyBorder="1" applyAlignment="1" applyProtection="1">
      <alignment horizontal="center" vertical="center"/>
      <protection hidden="1"/>
    </xf>
    <xf numFmtId="0" fontId="0" fillId="11" borderId="24" xfId="0" applyFill="1" applyBorder="1" applyAlignment="1" applyProtection="1">
      <alignment vertical="center"/>
      <protection hidden="1"/>
    </xf>
    <xf numFmtId="0" fontId="60" fillId="0" borderId="24" xfId="0" applyFont="1" applyBorder="1" applyProtection="1">
      <protection hidden="1"/>
    </xf>
    <xf numFmtId="0" fontId="60" fillId="0" borderId="13" xfId="0" applyFont="1" applyBorder="1" applyProtection="1">
      <protection hidden="1"/>
    </xf>
    <xf numFmtId="0" fontId="2" fillId="6" borderId="38" xfId="0" applyFont="1" applyFill="1" applyBorder="1" applyAlignment="1" applyProtection="1">
      <alignment vertical="center"/>
      <protection hidden="1"/>
    </xf>
    <xf numFmtId="0" fontId="7" fillId="0" borderId="0" xfId="0" applyFont="1" applyAlignment="1" applyProtection="1">
      <alignment horizontal="right"/>
      <protection hidden="1"/>
    </xf>
    <xf numFmtId="0" fontId="61" fillId="0" borderId="0" xfId="0" applyFont="1" applyAlignment="1" applyProtection="1">
      <alignment horizontal="right"/>
      <protection hidden="1"/>
    </xf>
    <xf numFmtId="0" fontId="60" fillId="5" borderId="0" xfId="0" applyFont="1" applyFill="1" applyProtection="1">
      <protection hidden="1"/>
    </xf>
    <xf numFmtId="0" fontId="62" fillId="5" borderId="0" xfId="0" quotePrefix="1" applyFont="1" applyFill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2" fontId="5" fillId="11" borderId="19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9" xfId="0" applyBorder="1"/>
    <xf numFmtId="0" fontId="0" fillId="0" borderId="23" xfId="0" applyBorder="1"/>
    <xf numFmtId="0" fontId="11" fillId="0" borderId="0" xfId="0" applyFont="1" applyAlignment="1">
      <alignment vertical="center"/>
    </xf>
    <xf numFmtId="2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left" vertical="center"/>
    </xf>
    <xf numFmtId="165" fontId="11" fillId="0" borderId="0" xfId="0" applyNumberFormat="1" applyFont="1" applyAlignment="1">
      <alignment horizontal="right" vertical="center"/>
    </xf>
    <xf numFmtId="0" fontId="48" fillId="0" borderId="0" xfId="0" applyFont="1" applyAlignment="1">
      <alignment vertical="center"/>
    </xf>
    <xf numFmtId="0" fontId="22" fillId="2" borderId="23" xfId="0" applyFont="1" applyFill="1" applyBorder="1" applyAlignment="1" applyProtection="1">
      <alignment horizontal="left" vertical="center"/>
      <protection hidden="1"/>
    </xf>
    <xf numFmtId="0" fontId="23" fillId="2" borderId="23" xfId="0" applyFont="1" applyFill="1" applyBorder="1" applyAlignment="1" applyProtection="1">
      <alignment horizontal="center"/>
      <protection hidden="1"/>
    </xf>
    <xf numFmtId="0" fontId="13" fillId="2" borderId="7" xfId="0" applyFont="1" applyFill="1" applyBorder="1" applyAlignment="1" applyProtection="1">
      <alignment horizontal="center" vertical="top"/>
      <protection hidden="1"/>
    </xf>
    <xf numFmtId="0" fontId="3" fillId="0" borderId="1" xfId="0" applyFont="1" applyBorder="1" applyAlignment="1" applyProtection="1">
      <alignment horizontal="left"/>
      <protection hidden="1"/>
    </xf>
    <xf numFmtId="0" fontId="3" fillId="0" borderId="27" xfId="0" applyFont="1" applyBorder="1" applyAlignment="1" applyProtection="1">
      <alignment horizontal="left"/>
      <protection hidden="1"/>
    </xf>
    <xf numFmtId="0" fontId="2" fillId="11" borderId="19" xfId="0" applyFont="1" applyFill="1" applyBorder="1" applyAlignment="1" applyProtection="1">
      <alignment horizontal="center"/>
      <protection hidden="1"/>
    </xf>
    <xf numFmtId="2" fontId="10" fillId="9" borderId="13" xfId="0" applyNumberFormat="1" applyFont="1" applyFill="1" applyBorder="1" applyAlignment="1" applyProtection="1">
      <alignment horizontal="center" vertical="center" wrapText="1"/>
      <protection hidden="1"/>
    </xf>
    <xf numFmtId="1" fontId="2" fillId="9" borderId="13" xfId="0" applyNumberFormat="1" applyFont="1" applyFill="1" applyBorder="1" applyAlignment="1" applyProtection="1">
      <alignment horizontal="center" vertical="center" wrapText="1"/>
      <protection hidden="1"/>
    </xf>
    <xf numFmtId="1" fontId="2" fillId="11" borderId="13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0" fillId="11" borderId="0" xfId="0" applyFill="1" applyProtection="1">
      <protection hidden="1"/>
    </xf>
    <xf numFmtId="0" fontId="2" fillId="11" borderId="0" xfId="0" applyFont="1" applyFill="1" applyAlignment="1" applyProtection="1">
      <alignment horizontal="right"/>
      <protection hidden="1"/>
    </xf>
    <xf numFmtId="0" fontId="2" fillId="11" borderId="0" xfId="0" applyFont="1" applyFill="1" applyProtection="1">
      <protection hidden="1"/>
    </xf>
    <xf numFmtId="0" fontId="5" fillId="0" borderId="36" xfId="0" applyFont="1" applyBorder="1" applyAlignment="1" applyProtection="1">
      <alignment horizontal="left" vertical="top"/>
      <protection hidden="1"/>
    </xf>
    <xf numFmtId="1" fontId="2" fillId="11" borderId="0" xfId="0" applyNumberFormat="1" applyFont="1" applyFill="1" applyProtection="1">
      <protection hidden="1"/>
    </xf>
    <xf numFmtId="0" fontId="5" fillId="11" borderId="0" xfId="0" applyFont="1" applyFill="1" applyProtection="1">
      <protection hidden="1"/>
    </xf>
    <xf numFmtId="1" fontId="2" fillId="11" borderId="0" xfId="0" applyNumberFormat="1" applyFont="1" applyFill="1" applyAlignment="1" applyProtection="1">
      <alignment horizontal="left"/>
      <protection hidden="1"/>
    </xf>
    <xf numFmtId="0" fontId="16" fillId="5" borderId="19" xfId="0" applyFont="1" applyFill="1" applyBorder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left"/>
      <protection hidden="1"/>
    </xf>
    <xf numFmtId="0" fontId="5" fillId="11" borderId="0" xfId="0" applyFont="1" applyFill="1" applyAlignment="1" applyProtection="1">
      <alignment horizontal="left"/>
      <protection hidden="1"/>
    </xf>
    <xf numFmtId="0" fontId="31" fillId="12" borderId="0" xfId="0" applyFont="1" applyFill="1" applyProtection="1">
      <protection hidden="1"/>
    </xf>
    <xf numFmtId="0" fontId="2" fillId="11" borderId="0" xfId="0" applyFont="1" applyFill="1" applyAlignment="1" applyProtection="1">
      <alignment vertical="center"/>
      <protection hidden="1"/>
    </xf>
    <xf numFmtId="0" fontId="0" fillId="11" borderId="0" xfId="0" applyFill="1" applyAlignment="1" applyProtection="1">
      <alignment vertical="center"/>
      <protection hidden="1"/>
    </xf>
    <xf numFmtId="0" fontId="2" fillId="2" borderId="23" xfId="0" applyFont="1" applyFill="1" applyBorder="1" applyProtection="1">
      <protection hidden="1"/>
    </xf>
    <xf numFmtId="0" fontId="10" fillId="2" borderId="23" xfId="0" applyFont="1" applyFill="1" applyBorder="1" applyAlignment="1" applyProtection="1">
      <alignment vertical="center"/>
      <protection hidden="1"/>
    </xf>
    <xf numFmtId="165" fontId="13" fillId="2" borderId="13" xfId="0" applyNumberFormat="1" applyFont="1" applyFill="1" applyBorder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right" vertical="center"/>
      <protection hidden="1"/>
    </xf>
    <xf numFmtId="165" fontId="10" fillId="10" borderId="19" xfId="0" applyNumberFormat="1" applyFont="1" applyFill="1" applyBorder="1" applyAlignment="1" applyProtection="1">
      <alignment vertical="center"/>
      <protection hidden="1"/>
    </xf>
    <xf numFmtId="0" fontId="10" fillId="2" borderId="5" xfId="0" applyFont="1" applyFill="1" applyBorder="1" applyAlignment="1" applyProtection="1">
      <alignment horizontal="center" vertical="center"/>
      <protection hidden="1"/>
    </xf>
    <xf numFmtId="0" fontId="2" fillId="2" borderId="34" xfId="0" applyFont="1" applyFill="1" applyBorder="1" applyAlignment="1" applyProtection="1">
      <alignment horizontal="right" vertical="center"/>
      <protection hidden="1"/>
    </xf>
    <xf numFmtId="0" fontId="10" fillId="2" borderId="45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vertical="center"/>
      <protection hidden="1"/>
    </xf>
    <xf numFmtId="165" fontId="2" fillId="11" borderId="0" xfId="0" applyNumberFormat="1" applyFont="1" applyFill="1" applyProtection="1">
      <protection hidden="1"/>
    </xf>
    <xf numFmtId="0" fontId="2" fillId="11" borderId="24" xfId="0" applyFont="1" applyFill="1" applyBorder="1" applyAlignment="1" applyProtection="1">
      <alignment vertical="center"/>
      <protection hidden="1"/>
    </xf>
    <xf numFmtId="0" fontId="9" fillId="11" borderId="24" xfId="0" applyFont="1" applyFill="1" applyBorder="1" applyProtection="1">
      <protection hidden="1"/>
    </xf>
    <xf numFmtId="49" fontId="2" fillId="6" borderId="38" xfId="0" applyNumberFormat="1" applyFont="1" applyFill="1" applyBorder="1" applyAlignment="1" applyProtection="1">
      <alignment vertical="center"/>
      <protection hidden="1"/>
    </xf>
    <xf numFmtId="165" fontId="25" fillId="0" borderId="46" xfId="0" applyNumberFormat="1" applyFont="1" applyBorder="1" applyAlignment="1" applyProtection="1">
      <alignment vertical="center"/>
      <protection hidden="1"/>
    </xf>
    <xf numFmtId="167" fontId="5" fillId="7" borderId="47" xfId="0" applyNumberFormat="1" applyFont="1" applyFill="1" applyBorder="1" applyAlignment="1" applyProtection="1">
      <alignment vertical="center"/>
      <protection hidden="1"/>
    </xf>
    <xf numFmtId="167" fontId="5" fillId="7" borderId="21" xfId="0" applyNumberFormat="1" applyFont="1" applyFill="1" applyBorder="1" applyAlignment="1" applyProtection="1">
      <alignment vertical="center"/>
      <protection hidden="1"/>
    </xf>
    <xf numFmtId="0" fontId="2" fillId="11" borderId="6" xfId="0" applyFont="1" applyFill="1" applyBorder="1" applyAlignment="1" applyProtection="1">
      <alignment vertical="center"/>
      <protection hidden="1"/>
    </xf>
    <xf numFmtId="0" fontId="0" fillId="11" borderId="13" xfId="0" applyFill="1" applyBorder="1" applyAlignment="1" applyProtection="1">
      <alignment vertical="center"/>
      <protection hidden="1"/>
    </xf>
    <xf numFmtId="0" fontId="0" fillId="2" borderId="34" xfId="0" applyFill="1" applyBorder="1" applyProtection="1">
      <protection hidden="1"/>
    </xf>
    <xf numFmtId="0" fontId="5" fillId="2" borderId="6" xfId="0" applyFont="1" applyFill="1" applyBorder="1" applyProtection="1">
      <protection hidden="1"/>
    </xf>
    <xf numFmtId="0" fontId="0" fillId="2" borderId="24" xfId="0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2" fillId="2" borderId="6" xfId="0" applyFont="1" applyFill="1" applyBorder="1" applyAlignment="1" applyProtection="1">
      <alignment vertical="center"/>
      <protection hidden="1"/>
    </xf>
    <xf numFmtId="0" fontId="2" fillId="2" borderId="6" xfId="0" applyFont="1" applyFill="1" applyBorder="1" applyProtection="1">
      <protection hidden="1"/>
    </xf>
    <xf numFmtId="0" fontId="2" fillId="2" borderId="5" xfId="0" applyFont="1" applyFill="1" applyBorder="1" applyAlignment="1" applyProtection="1">
      <alignment horizontal="right" vertical="center"/>
      <protection hidden="1"/>
    </xf>
    <xf numFmtId="0" fontId="2" fillId="2" borderId="45" xfId="0" applyFont="1" applyFill="1" applyBorder="1" applyAlignment="1" applyProtection="1">
      <alignment horizontal="right" vertical="center"/>
      <protection hidden="1"/>
    </xf>
    <xf numFmtId="0" fontId="2" fillId="11" borderId="23" xfId="0" applyFont="1" applyFill="1" applyBorder="1" applyAlignment="1" applyProtection="1">
      <alignment horizontal="right"/>
      <protection hidden="1"/>
    </xf>
    <xf numFmtId="0" fontId="2" fillId="11" borderId="23" xfId="0" applyFont="1" applyFill="1" applyBorder="1" applyProtection="1">
      <protection hidden="1"/>
    </xf>
    <xf numFmtId="0" fontId="2" fillId="2" borderId="34" xfId="0" applyFont="1" applyFill="1" applyBorder="1" applyAlignment="1" applyProtection="1">
      <alignment vertical="center"/>
      <protection hidden="1"/>
    </xf>
    <xf numFmtId="0" fontId="7" fillId="2" borderId="6" xfId="0" applyFont="1" applyFill="1" applyBorder="1" applyAlignment="1" applyProtection="1">
      <alignment vertical="center"/>
      <protection hidden="1"/>
    </xf>
    <xf numFmtId="0" fontId="9" fillId="2" borderId="24" xfId="0" applyFont="1" applyFill="1" applyBorder="1" applyAlignment="1" applyProtection="1">
      <alignment vertical="center"/>
      <protection hidden="1"/>
    </xf>
    <xf numFmtId="0" fontId="9" fillId="2" borderId="13" xfId="0" applyFont="1" applyFill="1" applyBorder="1" applyAlignment="1" applyProtection="1">
      <alignment vertical="center"/>
      <protection hidden="1"/>
    </xf>
    <xf numFmtId="0" fontId="2" fillId="2" borderId="19" xfId="0" applyFont="1" applyFill="1" applyBorder="1" applyAlignment="1" applyProtection="1">
      <alignment horizontal="center" vertical="center"/>
      <protection hidden="1"/>
    </xf>
    <xf numFmtId="167" fontId="0" fillId="10" borderId="19" xfId="0" applyNumberFormat="1" applyFill="1" applyBorder="1" applyAlignment="1" applyProtection="1">
      <alignment horizontal="center" vertical="center"/>
      <protection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2" fillId="2" borderId="24" xfId="0" applyFont="1" applyFill="1" applyBorder="1" applyAlignment="1" applyProtection="1">
      <alignment vertical="center"/>
      <protection hidden="1"/>
    </xf>
    <xf numFmtId="0" fontId="2" fillId="2" borderId="13" xfId="0" applyFont="1" applyFill="1" applyBorder="1" applyAlignment="1" applyProtection="1">
      <alignment vertical="center"/>
      <protection hidden="1"/>
    </xf>
    <xf numFmtId="0" fontId="5" fillId="2" borderId="24" xfId="0" applyFont="1" applyFill="1" applyBorder="1" applyAlignment="1" applyProtection="1">
      <alignment vertical="center"/>
      <protection hidden="1"/>
    </xf>
    <xf numFmtId="2" fontId="5" fillId="7" borderId="19" xfId="0" applyNumberFormat="1" applyFont="1" applyFill="1" applyBorder="1" applyAlignment="1" applyProtection="1">
      <alignment vertical="center"/>
      <protection hidden="1"/>
    </xf>
    <xf numFmtId="1" fontId="2" fillId="11" borderId="19" xfId="0" applyNumberFormat="1" applyFont="1" applyFill="1" applyBorder="1" applyAlignment="1" applyProtection="1">
      <alignment horizontal="center" vertical="center"/>
      <protection hidden="1"/>
    </xf>
    <xf numFmtId="165" fontId="59" fillId="8" borderId="19" xfId="0" applyNumberFormat="1" applyFont="1" applyFill="1" applyBorder="1" applyAlignment="1" applyProtection="1">
      <alignment horizontal="center" vertical="center"/>
      <protection hidden="1"/>
    </xf>
    <xf numFmtId="165" fontId="59" fillId="7" borderId="19" xfId="0" applyNumberFormat="1" applyFont="1" applyFill="1" applyBorder="1" applyAlignment="1" applyProtection="1">
      <alignment horizontal="center" vertical="center"/>
      <protection hidden="1"/>
    </xf>
    <xf numFmtId="165" fontId="59" fillId="2" borderId="19" xfId="0" applyNumberFormat="1" applyFont="1" applyFill="1" applyBorder="1" applyAlignment="1" applyProtection="1">
      <alignment horizontal="center" vertical="center"/>
      <protection hidden="1"/>
    </xf>
    <xf numFmtId="0" fontId="7" fillId="2" borderId="24" xfId="0" applyFont="1" applyFill="1" applyBorder="1" applyAlignment="1" applyProtection="1">
      <alignment vertical="center"/>
      <protection hidden="1"/>
    </xf>
    <xf numFmtId="0" fontId="7" fillId="2" borderId="13" xfId="0" applyFont="1" applyFill="1" applyBorder="1" applyAlignment="1" applyProtection="1">
      <alignment vertical="center"/>
      <protection hidden="1"/>
    </xf>
    <xf numFmtId="2" fontId="2" fillId="3" borderId="19" xfId="0" applyNumberFormat="1" applyFont="1" applyFill="1" applyBorder="1" applyAlignment="1" applyProtection="1">
      <alignment vertical="center"/>
      <protection hidden="1"/>
    </xf>
    <xf numFmtId="0" fontId="2" fillId="3" borderId="6" xfId="0" applyFont="1" applyFill="1" applyBorder="1" applyAlignment="1" applyProtection="1">
      <alignment vertical="center"/>
      <protection hidden="1"/>
    </xf>
    <xf numFmtId="0" fontId="5" fillId="3" borderId="13" xfId="0" applyFont="1" applyFill="1" applyBorder="1" applyAlignment="1" applyProtection="1">
      <alignment vertical="center"/>
      <protection hidden="1"/>
    </xf>
    <xf numFmtId="1" fontId="2" fillId="11" borderId="0" xfId="0" applyNumberFormat="1" applyFont="1" applyFill="1" applyAlignment="1" applyProtection="1">
      <alignment horizontal="center" vertical="center"/>
      <protection hidden="1"/>
    </xf>
    <xf numFmtId="0" fontId="5" fillId="11" borderId="0" xfId="0" applyFont="1" applyFill="1" applyAlignment="1" applyProtection="1">
      <alignment vertical="center"/>
      <protection hidden="1"/>
    </xf>
    <xf numFmtId="0" fontId="5" fillId="11" borderId="0" xfId="0" applyFont="1" applyFill="1" applyAlignment="1" applyProtection="1">
      <alignment horizontal="right" vertical="center"/>
      <protection hidden="1"/>
    </xf>
    <xf numFmtId="0" fontId="7" fillId="2" borderId="5" xfId="0" applyFont="1" applyFill="1" applyBorder="1" applyAlignment="1" applyProtection="1">
      <alignment vertical="center"/>
      <protection hidden="1"/>
    </xf>
    <xf numFmtId="0" fontId="7" fillId="2" borderId="45" xfId="0" applyFont="1" applyFill="1" applyBorder="1" applyAlignment="1" applyProtection="1">
      <alignment vertical="center"/>
      <protection hidden="1"/>
    </xf>
    <xf numFmtId="0" fontId="0" fillId="2" borderId="45" xfId="0" applyFill="1" applyBorder="1" applyProtection="1">
      <protection hidden="1"/>
    </xf>
    <xf numFmtId="0" fontId="9" fillId="2" borderId="45" xfId="0" applyFont="1" applyFill="1" applyBorder="1" applyAlignment="1" applyProtection="1">
      <alignment horizontal="center" vertical="center"/>
      <protection hidden="1"/>
    </xf>
    <xf numFmtId="0" fontId="7" fillId="2" borderId="45" xfId="0" applyFont="1" applyFill="1" applyBorder="1" applyAlignment="1" applyProtection="1">
      <alignment horizontal="center" vertical="center"/>
      <protection hidden="1"/>
    </xf>
    <xf numFmtId="0" fontId="0" fillId="2" borderId="45" xfId="0" applyFill="1" applyBorder="1" applyAlignment="1" applyProtection="1">
      <alignment vertical="center"/>
      <protection hidden="1"/>
    </xf>
    <xf numFmtId="0" fontId="0" fillId="2" borderId="21" xfId="0" applyFill="1" applyBorder="1" applyAlignment="1" applyProtection="1">
      <alignment vertical="center"/>
      <protection hidden="1"/>
    </xf>
    <xf numFmtId="0" fontId="0" fillId="4" borderId="19" xfId="0" applyFill="1" applyBorder="1" applyProtection="1">
      <protection hidden="1"/>
    </xf>
    <xf numFmtId="165" fontId="59" fillId="4" borderId="19" xfId="0" applyNumberFormat="1" applyFont="1" applyFill="1" applyBorder="1" applyAlignment="1" applyProtection="1">
      <alignment horizontal="center" vertical="center"/>
      <protection hidden="1"/>
    </xf>
    <xf numFmtId="164" fontId="5" fillId="7" borderId="19" xfId="0" applyNumberFormat="1" applyFont="1" applyFill="1" applyBorder="1" applyAlignment="1" applyProtection="1">
      <alignment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4" fontId="5" fillId="0" borderId="6" xfId="0" applyNumberFormat="1" applyFont="1" applyBorder="1" applyAlignment="1" applyProtection="1">
      <alignment vertical="center"/>
      <protection hidden="1"/>
    </xf>
    <xf numFmtId="4" fontId="5" fillId="0" borderId="14" xfId="0" applyNumberFormat="1" applyFont="1" applyBorder="1" applyAlignment="1" applyProtection="1">
      <alignment vertical="center"/>
      <protection hidden="1"/>
    </xf>
    <xf numFmtId="4" fontId="5" fillId="0" borderId="4" xfId="0" applyNumberFormat="1" applyFont="1" applyBorder="1" applyAlignment="1" applyProtection="1">
      <alignment vertical="center"/>
      <protection hidden="1"/>
    </xf>
    <xf numFmtId="4" fontId="5" fillId="0" borderId="48" xfId="0" applyNumberFormat="1" applyFont="1" applyBorder="1" applyAlignment="1" applyProtection="1">
      <alignment vertical="center"/>
      <protection hidden="1"/>
    </xf>
    <xf numFmtId="0" fontId="2" fillId="11" borderId="6" xfId="0" applyFont="1" applyFill="1" applyBorder="1" applyAlignment="1" applyProtection="1">
      <alignment horizontal="center"/>
      <protection hidden="1"/>
    </xf>
    <xf numFmtId="0" fontId="5" fillId="11" borderId="24" xfId="0" applyFont="1" applyFill="1" applyBorder="1" applyAlignment="1" applyProtection="1">
      <alignment horizontal="left"/>
      <protection hidden="1"/>
    </xf>
    <xf numFmtId="0" fontId="2" fillId="11" borderId="13" xfId="0" applyFont="1" applyFill="1" applyBorder="1" applyAlignment="1" applyProtection="1">
      <alignment horizontal="center"/>
      <protection hidden="1"/>
    </xf>
    <xf numFmtId="0" fontId="7" fillId="11" borderId="34" xfId="0" applyFont="1" applyFill="1" applyBorder="1" applyAlignment="1" applyProtection="1">
      <alignment vertical="center"/>
      <protection hidden="1"/>
    </xf>
    <xf numFmtId="0" fontId="9" fillId="11" borderId="23" xfId="0" applyFont="1" applyFill="1" applyBorder="1" applyAlignment="1" applyProtection="1">
      <alignment vertical="center"/>
      <protection hidden="1"/>
    </xf>
    <xf numFmtId="2" fontId="2" fillId="11" borderId="21" xfId="0" applyNumberFormat="1" applyFont="1" applyFill="1" applyBorder="1" applyAlignment="1">
      <alignment horizontal="right"/>
    </xf>
    <xf numFmtId="12" fontId="2" fillId="11" borderId="19" xfId="0" applyNumberFormat="1" applyFont="1" applyFill="1" applyBorder="1" applyAlignment="1">
      <alignment horizontal="right"/>
    </xf>
    <xf numFmtId="12" fontId="2" fillId="11" borderId="13" xfId="0" applyNumberFormat="1" applyFont="1" applyFill="1" applyBorder="1" applyAlignment="1">
      <alignment horizontal="right"/>
    </xf>
    <xf numFmtId="0" fontId="2" fillId="11" borderId="19" xfId="0" applyFont="1" applyFill="1" applyBorder="1" applyAlignment="1">
      <alignment horizontal="center"/>
    </xf>
    <xf numFmtId="0" fontId="2" fillId="0" borderId="0" xfId="0" applyFont="1" applyAlignment="1" applyProtection="1">
      <alignment horizontal="left"/>
      <protection hidden="1"/>
    </xf>
    <xf numFmtId="0" fontId="2" fillId="11" borderId="19" xfId="0" applyFont="1" applyFill="1" applyBorder="1" applyAlignment="1">
      <alignment horizontal="left"/>
    </xf>
    <xf numFmtId="2" fontId="2" fillId="11" borderId="19" xfId="0" applyNumberFormat="1" applyFont="1" applyFill="1" applyBorder="1" applyAlignment="1">
      <alignment horizontal="right"/>
    </xf>
    <xf numFmtId="165" fontId="2" fillId="11" borderId="19" xfId="0" applyNumberFormat="1" applyFont="1" applyFill="1" applyBorder="1" applyAlignment="1">
      <alignment horizontal="center"/>
    </xf>
    <xf numFmtId="2" fontId="2" fillId="11" borderId="19" xfId="0" applyNumberFormat="1" applyFont="1" applyFill="1" applyBorder="1" applyAlignment="1">
      <alignment horizontal="center"/>
    </xf>
    <xf numFmtId="2" fontId="0" fillId="10" borderId="21" xfId="0" applyNumberFormat="1" applyFill="1" applyBorder="1" applyAlignment="1" applyProtection="1">
      <alignment horizontal="center" vertical="center"/>
      <protection hidden="1"/>
    </xf>
    <xf numFmtId="12" fontId="2" fillId="13" borderId="13" xfId="0" applyNumberFormat="1" applyFont="1" applyFill="1" applyBorder="1" applyAlignment="1">
      <alignment horizontal="right"/>
    </xf>
    <xf numFmtId="0" fontId="2" fillId="0" borderId="24" xfId="0" applyFont="1" applyBorder="1" applyAlignment="1" applyProtection="1">
      <alignment horizontal="center" vertical="center"/>
      <protection hidden="1"/>
    </xf>
    <xf numFmtId="1" fontId="0" fillId="0" borderId="24" xfId="0" applyNumberFormat="1" applyBorder="1" applyAlignment="1" applyProtection="1">
      <alignment horizontal="center" vertical="center"/>
      <protection hidden="1"/>
    </xf>
    <xf numFmtId="1" fontId="0" fillId="0" borderId="7" xfId="0" applyNumberFormat="1" applyBorder="1" applyAlignment="1" applyProtection="1">
      <alignment horizontal="center" vertical="center"/>
      <protection hidden="1"/>
    </xf>
    <xf numFmtId="164" fontId="0" fillId="0" borderId="7" xfId="0" applyNumberFormat="1" applyBorder="1" applyAlignment="1" applyProtection="1">
      <alignment vertical="center"/>
      <protection hidden="1"/>
    </xf>
    <xf numFmtId="2" fontId="0" fillId="0" borderId="7" xfId="0" applyNumberFormat="1" applyBorder="1" applyAlignment="1" applyProtection="1">
      <alignment vertical="center"/>
      <protection hidden="1"/>
    </xf>
    <xf numFmtId="165" fontId="2" fillId="0" borderId="24" xfId="0" applyNumberFormat="1" applyFont="1" applyBorder="1" applyAlignment="1" applyProtection="1">
      <alignment vertical="center"/>
      <protection hidden="1"/>
    </xf>
    <xf numFmtId="165" fontId="0" fillId="0" borderId="24" xfId="0" applyNumberFormat="1" applyBorder="1" applyAlignment="1" applyProtection="1">
      <alignment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12" fontId="2" fillId="0" borderId="7" xfId="0" applyNumberFormat="1" applyFont="1" applyBorder="1" applyAlignment="1" applyProtection="1">
      <alignment horizontal="center" vertical="center"/>
      <protection hidden="1"/>
    </xf>
    <xf numFmtId="4" fontId="5" fillId="0" borderId="24" xfId="0" applyNumberFormat="1" applyFont="1" applyBorder="1" applyAlignment="1" applyProtection="1">
      <alignment vertical="center"/>
      <protection hidden="1"/>
    </xf>
    <xf numFmtId="4" fontId="5" fillId="0" borderId="7" xfId="0" applyNumberFormat="1" applyFont="1" applyBorder="1" applyAlignment="1" applyProtection="1">
      <alignment vertical="center"/>
      <protection hidden="1"/>
    </xf>
    <xf numFmtId="164" fontId="2" fillId="0" borderId="7" xfId="0" applyNumberFormat="1" applyFont="1" applyBorder="1" applyAlignment="1" applyProtection="1">
      <alignment vertical="center"/>
      <protection hidden="1"/>
    </xf>
    <xf numFmtId="2" fontId="2" fillId="0" borderId="24" xfId="0" applyNumberFormat="1" applyFont="1" applyBorder="1" applyAlignment="1" applyProtection="1">
      <alignment vertical="center"/>
      <protection hidden="1"/>
    </xf>
    <xf numFmtId="0" fontId="49" fillId="11" borderId="49" xfId="0" applyFont="1" applyFill="1" applyBorder="1" applyAlignment="1" applyProtection="1">
      <alignment horizontal="center" vertical="center"/>
      <protection hidden="1"/>
    </xf>
    <xf numFmtId="0" fontId="49" fillId="11" borderId="50" xfId="0" applyFont="1" applyFill="1" applyBorder="1" applyAlignment="1" applyProtection="1">
      <alignment horizontal="center" vertical="center"/>
      <protection hidden="1"/>
    </xf>
    <xf numFmtId="0" fontId="2" fillId="0" borderId="36" xfId="0" applyFont="1" applyBorder="1" applyAlignment="1" applyProtection="1">
      <alignment horizontal="center" vertical="center"/>
      <protection hidden="1"/>
    </xf>
    <xf numFmtId="0" fontId="2" fillId="0" borderId="51" xfId="0" applyFont="1" applyBorder="1" applyAlignment="1" applyProtection="1">
      <alignment horizontal="center" vertical="center"/>
      <protection hidden="1"/>
    </xf>
    <xf numFmtId="170" fontId="64" fillId="0" borderId="0" xfId="0" applyNumberFormat="1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/>
      <protection hidden="1"/>
    </xf>
    <xf numFmtId="2" fontId="9" fillId="0" borderId="4" xfId="0" applyNumberFormat="1" applyFont="1" applyBorder="1" applyProtection="1">
      <protection hidden="1"/>
    </xf>
    <xf numFmtId="2" fontId="5" fillId="0" borderId="4" xfId="0" applyNumberFormat="1" applyFont="1" applyBorder="1" applyProtection="1">
      <protection hidden="1"/>
    </xf>
    <xf numFmtId="2" fontId="5" fillId="0" borderId="0" xfId="0" applyNumberFormat="1" applyFont="1" applyProtection="1">
      <protection hidden="1"/>
    </xf>
    <xf numFmtId="4" fontId="5" fillId="0" borderId="53" xfId="0" applyNumberFormat="1" applyFont="1" applyBorder="1" applyAlignment="1" applyProtection="1">
      <alignment vertical="center"/>
      <protection hidden="1"/>
    </xf>
    <xf numFmtId="164" fontId="2" fillId="0" borderId="54" xfId="0" applyNumberFormat="1" applyFont="1" applyBorder="1" applyAlignment="1" applyProtection="1">
      <alignment vertical="center"/>
      <protection hidden="1"/>
    </xf>
    <xf numFmtId="2" fontId="2" fillId="0" borderId="23" xfId="0" applyNumberFormat="1" applyFont="1" applyBorder="1" applyAlignment="1" applyProtection="1">
      <alignment horizontal="center" vertical="center"/>
      <protection hidden="1"/>
    </xf>
    <xf numFmtId="4" fontId="5" fillId="0" borderId="55" xfId="0" applyNumberFormat="1" applyFont="1" applyBorder="1" applyAlignment="1" applyProtection="1">
      <alignment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2" fontId="2" fillId="0" borderId="0" xfId="0" applyNumberFormat="1" applyFont="1" applyAlignment="1" applyProtection="1">
      <alignment horizontal="center" vertical="center"/>
      <protection hidden="1"/>
    </xf>
    <xf numFmtId="2" fontId="2" fillId="0" borderId="0" xfId="0" applyNumberFormat="1" applyFont="1" applyAlignment="1" applyProtection="1">
      <alignment vertical="center"/>
      <protection hidden="1"/>
    </xf>
    <xf numFmtId="4" fontId="5" fillId="0" borderId="23" xfId="0" applyNumberFormat="1" applyFont="1" applyBorder="1" applyAlignment="1" applyProtection="1">
      <alignment vertical="center"/>
      <protection hidden="1"/>
    </xf>
    <xf numFmtId="2" fontId="2" fillId="0" borderId="56" xfId="0" applyNumberFormat="1" applyFont="1" applyBorder="1" applyAlignment="1" applyProtection="1">
      <alignment vertical="center"/>
      <protection hidden="1"/>
    </xf>
    <xf numFmtId="0" fontId="0" fillId="0" borderId="23" xfId="0" applyBorder="1" applyAlignment="1" applyProtection="1">
      <alignment vertical="center"/>
      <protection hidden="1"/>
    </xf>
    <xf numFmtId="4" fontId="5" fillId="0" borderId="57" xfId="0" applyNumberFormat="1" applyFont="1" applyBorder="1" applyAlignment="1" applyProtection="1">
      <alignment vertical="center"/>
      <protection hidden="1"/>
    </xf>
    <xf numFmtId="2" fontId="5" fillId="0" borderId="39" xfId="0" applyNumberFormat="1" applyFont="1" applyBorder="1" applyProtection="1">
      <protection hidden="1"/>
    </xf>
    <xf numFmtId="165" fontId="5" fillId="0" borderId="34" xfId="0" applyNumberFormat="1" applyFont="1" applyBorder="1" applyProtection="1">
      <protection hidden="1"/>
    </xf>
    <xf numFmtId="12" fontId="2" fillId="0" borderId="23" xfId="0" applyNumberFormat="1" applyFont="1" applyBorder="1" applyProtection="1">
      <protection hidden="1"/>
    </xf>
    <xf numFmtId="167" fontId="0" fillId="0" borderId="23" xfId="0" applyNumberFormat="1" applyBorder="1" applyProtection="1">
      <protection hidden="1"/>
    </xf>
    <xf numFmtId="167" fontId="5" fillId="0" borderId="23" xfId="0" applyNumberFormat="1" applyFont="1" applyBorder="1" applyProtection="1">
      <protection hidden="1"/>
    </xf>
    <xf numFmtId="166" fontId="5" fillId="0" borderId="24" xfId="0" applyNumberFormat="1" applyFont="1" applyBorder="1" applyAlignment="1" applyProtection="1">
      <alignment vertical="center"/>
      <protection hidden="1"/>
    </xf>
    <xf numFmtId="166" fontId="5" fillId="0" borderId="7" xfId="0" applyNumberFormat="1" applyFont="1" applyBorder="1" applyAlignment="1" applyProtection="1">
      <alignment vertical="center"/>
      <protection hidden="1"/>
    </xf>
    <xf numFmtId="166" fontId="5" fillId="0" borderId="53" xfId="0" applyNumberFormat="1" applyFont="1" applyBorder="1" applyAlignment="1" applyProtection="1">
      <alignment vertical="center"/>
      <protection hidden="1"/>
    </xf>
    <xf numFmtId="166" fontId="5" fillId="0" borderId="0" xfId="0" applyNumberFormat="1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164" fontId="5" fillId="0" borderId="0" xfId="0" applyNumberFormat="1" applyFont="1" applyAlignment="1" applyProtection="1">
      <alignment vertical="center"/>
      <protection hidden="1"/>
    </xf>
    <xf numFmtId="0" fontId="0" fillId="11" borderId="19" xfId="0" applyFill="1" applyBorder="1" applyProtection="1">
      <protection hidden="1"/>
    </xf>
    <xf numFmtId="1" fontId="0" fillId="14" borderId="19" xfId="0" applyNumberFormat="1" applyFill="1" applyBorder="1" applyProtection="1">
      <protection hidden="1"/>
    </xf>
    <xf numFmtId="0" fontId="2" fillId="11" borderId="5" xfId="0" applyFont="1" applyFill="1" applyBorder="1" applyAlignment="1" applyProtection="1">
      <alignment horizontal="center" vertical="center"/>
      <protection hidden="1"/>
    </xf>
    <xf numFmtId="164" fontId="0" fillId="0" borderId="21" xfId="0" applyNumberFormat="1" applyBorder="1"/>
    <xf numFmtId="164" fontId="0" fillId="0" borderId="34" xfId="0" applyNumberFormat="1" applyBorder="1"/>
    <xf numFmtId="0" fontId="37" fillId="0" borderId="0" xfId="0" applyFont="1" applyProtection="1">
      <protection hidden="1"/>
    </xf>
    <xf numFmtId="170" fontId="64" fillId="0" borderId="0" xfId="0" applyNumberFormat="1" applyFont="1" applyAlignment="1" applyProtection="1">
      <alignment horizontal="left"/>
      <protection hidden="1"/>
    </xf>
    <xf numFmtId="0" fontId="72" fillId="0" borderId="0" xfId="0" applyFont="1" applyProtection="1">
      <protection hidden="1"/>
    </xf>
    <xf numFmtId="1" fontId="5" fillId="0" borderId="50" xfId="0" applyNumberFormat="1" applyFont="1" applyBorder="1" applyAlignment="1" applyProtection="1">
      <alignment horizontal="right" vertical="center"/>
      <protection hidden="1"/>
    </xf>
    <xf numFmtId="0" fontId="2" fillId="4" borderId="19" xfId="0" applyFont="1" applyFill="1" applyBorder="1" applyAlignment="1" applyProtection="1">
      <alignment horizontal="center"/>
      <protection hidden="1"/>
    </xf>
    <xf numFmtId="0" fontId="11" fillId="0" borderId="0" xfId="0" applyFont="1" applyProtection="1">
      <protection hidden="1"/>
    </xf>
    <xf numFmtId="2" fontId="11" fillId="11" borderId="19" xfId="0" applyNumberFormat="1" applyFont="1" applyFill="1" applyBorder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/>
      <protection hidden="1"/>
    </xf>
    <xf numFmtId="0" fontId="3" fillId="11" borderId="0" xfId="0" applyFont="1" applyFill="1" applyAlignment="1" applyProtection="1">
      <alignment horizontal="center" vertical="center"/>
      <protection hidden="1"/>
    </xf>
    <xf numFmtId="1" fontId="3" fillId="11" borderId="6" xfId="0" applyNumberFormat="1" applyFont="1" applyFill="1" applyBorder="1" applyAlignment="1" applyProtection="1">
      <alignment horizontal="right" vertical="center"/>
      <protection hidden="1"/>
    </xf>
    <xf numFmtId="2" fontId="6" fillId="11" borderId="19" xfId="0" applyNumberFormat="1" applyFont="1" applyFill="1" applyBorder="1" applyAlignment="1">
      <alignment horizontal="center"/>
    </xf>
    <xf numFmtId="2" fontId="72" fillId="10" borderId="21" xfId="0" applyNumberFormat="1" applyFont="1" applyFill="1" applyBorder="1" applyAlignment="1" applyProtection="1">
      <alignment horizontal="center" vertical="center"/>
      <protection hidden="1"/>
    </xf>
    <xf numFmtId="0" fontId="7" fillId="2" borderId="21" xfId="0" applyFont="1" applyFill="1" applyBorder="1" applyAlignment="1" applyProtection="1">
      <alignment vertical="center"/>
      <protection hidden="1"/>
    </xf>
    <xf numFmtId="1" fontId="5" fillId="2" borderId="19" xfId="0" applyNumberFormat="1" applyFont="1" applyFill="1" applyBorder="1" applyAlignment="1" applyProtection="1">
      <alignment horizontal="center" vertical="center"/>
      <protection hidden="1"/>
    </xf>
    <xf numFmtId="1" fontId="5" fillId="7" borderId="19" xfId="0" applyNumberFormat="1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Protection="1">
      <protection hidden="1"/>
    </xf>
    <xf numFmtId="0" fontId="9" fillId="2" borderId="24" xfId="0" applyFont="1" applyFill="1" applyBorder="1" applyAlignment="1" applyProtection="1">
      <alignment horizontal="center" vertical="center"/>
      <protection hidden="1"/>
    </xf>
    <xf numFmtId="0" fontId="14" fillId="15" borderId="0" xfId="0" applyFont="1" applyFill="1" applyAlignment="1" applyProtection="1">
      <alignment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0" fontId="1" fillId="0" borderId="0" xfId="0" applyFont="1" applyProtection="1">
      <protection hidden="1"/>
    </xf>
    <xf numFmtId="0" fontId="75" fillId="0" borderId="0" xfId="0" applyFont="1" applyProtection="1">
      <protection hidden="1"/>
    </xf>
    <xf numFmtId="0" fontId="31" fillId="12" borderId="0" xfId="0" applyFont="1" applyFill="1" applyAlignment="1" applyProtection="1">
      <alignment horizontal="right"/>
      <protection hidden="1"/>
    </xf>
    <xf numFmtId="0" fontId="5" fillId="0" borderId="0" xfId="0" applyFont="1" applyAlignment="1" applyProtection="1">
      <alignment horizontal="right"/>
      <protection hidden="1"/>
    </xf>
    <xf numFmtId="2" fontId="5" fillId="9" borderId="13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top" wrapText="1"/>
      <protection hidden="1"/>
    </xf>
    <xf numFmtId="0" fontId="64" fillId="0" borderId="0" xfId="0" applyFont="1" applyAlignment="1" applyProtection="1">
      <alignment horizontal="center" vertical="top" wrapText="1"/>
      <protection hidden="1"/>
    </xf>
    <xf numFmtId="0" fontId="65" fillId="0" borderId="2" xfId="0" applyFont="1" applyBorder="1" applyProtection="1">
      <protection hidden="1"/>
    </xf>
    <xf numFmtId="0" fontId="65" fillId="0" borderId="0" xfId="0" applyFont="1" applyProtection="1">
      <protection hidden="1"/>
    </xf>
    <xf numFmtId="0" fontId="0" fillId="0" borderId="4" xfId="0" applyBorder="1" applyProtection="1"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9" fontId="3" fillId="0" borderId="23" xfId="0" applyNumberFormat="1" applyFont="1" applyBorder="1" applyAlignment="1" applyProtection="1">
      <alignment horizontal="center" vertical="center"/>
      <protection hidden="1"/>
    </xf>
    <xf numFmtId="0" fontId="9" fillId="0" borderId="2" xfId="0" applyFont="1" applyBorder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9" fillId="0" borderId="13" xfId="0" applyFont="1" applyBorder="1" applyAlignment="1" applyProtection="1">
      <alignment horizontal="right" vertical="center"/>
      <protection hidden="1"/>
    </xf>
    <xf numFmtId="0" fontId="18" fillId="0" borderId="6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vertical="center"/>
      <protection hidden="1"/>
    </xf>
    <xf numFmtId="0" fontId="5" fillId="11" borderId="21" xfId="0" applyFont="1" applyFill="1" applyBorder="1" applyAlignment="1" applyProtection="1">
      <alignment horizontal="center" vertical="center"/>
      <protection hidden="1"/>
    </xf>
    <xf numFmtId="0" fontId="9" fillId="11" borderId="21" xfId="0" applyFont="1" applyFill="1" applyBorder="1" applyAlignment="1" applyProtection="1">
      <alignment horizontal="center" vertical="center"/>
      <protection hidden="1"/>
    </xf>
    <xf numFmtId="1" fontId="2" fillId="0" borderId="24" xfId="0" applyNumberFormat="1" applyFont="1" applyBorder="1" applyAlignment="1" applyProtection="1">
      <alignment horizontal="right" vertical="center"/>
      <protection hidden="1"/>
    </xf>
    <xf numFmtId="1" fontId="2" fillId="0" borderId="24" xfId="0" applyNumberFormat="1" applyFont="1" applyBorder="1" applyAlignment="1" applyProtection="1">
      <alignment horizontal="center" vertical="center"/>
      <protection hidden="1"/>
    </xf>
    <xf numFmtId="164" fontId="0" fillId="0" borderId="24" xfId="0" applyNumberFormat="1" applyBorder="1" applyAlignment="1" applyProtection="1">
      <alignment vertical="center"/>
      <protection hidden="1"/>
    </xf>
    <xf numFmtId="2" fontId="0" fillId="0" borderId="24" xfId="0" applyNumberFormat="1" applyBorder="1" applyAlignment="1" applyProtection="1">
      <alignment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2" fontId="5" fillId="0" borderId="24" xfId="0" applyNumberFormat="1" applyFont="1" applyBorder="1" applyAlignment="1" applyProtection="1">
      <alignment vertical="center"/>
      <protection hidden="1"/>
    </xf>
    <xf numFmtId="12" fontId="2" fillId="0" borderId="24" xfId="0" applyNumberFormat="1" applyFont="1" applyBorder="1" applyAlignment="1" applyProtection="1">
      <alignment horizontal="center" vertical="center"/>
      <protection hidden="1"/>
    </xf>
    <xf numFmtId="0" fontId="19" fillId="0" borderId="7" xfId="0" applyFont="1" applyBorder="1" applyAlignment="1" applyProtection="1">
      <alignment horizontal="left" vertical="center"/>
      <protection hidden="1"/>
    </xf>
    <xf numFmtId="0" fontId="24" fillId="0" borderId="7" xfId="0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right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1" fontId="0" fillId="0" borderId="23" xfId="0" applyNumberFormat="1" applyBorder="1" applyAlignment="1" applyProtection="1">
      <alignment horizontal="center" vertical="center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65" fontId="2" fillId="0" borderId="23" xfId="0" applyNumberFormat="1" applyFont="1" applyBorder="1" applyAlignment="1" applyProtection="1">
      <alignment vertical="center"/>
      <protection hidden="1"/>
    </xf>
    <xf numFmtId="165" fontId="2" fillId="0" borderId="0" xfId="0" applyNumberFormat="1" applyFont="1" applyAlignment="1" applyProtection="1">
      <alignment vertical="center"/>
      <protection hidden="1"/>
    </xf>
    <xf numFmtId="165" fontId="0" fillId="0" borderId="23" xfId="0" applyNumberFormat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2" fontId="2" fillId="0" borderId="0" xfId="0" applyNumberFormat="1" applyFont="1" applyAlignment="1" applyProtection="1">
      <alignment horizontal="center" vertical="center"/>
      <protection hidden="1"/>
    </xf>
    <xf numFmtId="164" fontId="2" fillId="0" borderId="0" xfId="0" applyNumberFormat="1" applyFont="1" applyAlignment="1" applyProtection="1">
      <alignment vertical="center"/>
      <protection hidden="1"/>
    </xf>
    <xf numFmtId="2" fontId="2" fillId="0" borderId="23" xfId="0" applyNumberFormat="1" applyFont="1" applyBorder="1" applyAlignment="1" applyProtection="1">
      <alignment vertical="center"/>
      <protection hidden="1"/>
    </xf>
    <xf numFmtId="49" fontId="2" fillId="0" borderId="54" xfId="0" applyNumberFormat="1" applyFont="1" applyBorder="1" applyAlignment="1" applyProtection="1">
      <alignment horizontal="center" vertical="center"/>
      <protection hidden="1"/>
    </xf>
    <xf numFmtId="1" fontId="47" fillId="0" borderId="55" xfId="0" applyNumberFormat="1" applyFont="1" applyBorder="1" applyAlignment="1" applyProtection="1">
      <alignment horizontal="center" vertical="center"/>
      <protection hidden="1"/>
    </xf>
    <xf numFmtId="1" fontId="47" fillId="0" borderId="53" xfId="0" applyNumberFormat="1" applyFont="1" applyBorder="1" applyAlignment="1" applyProtection="1">
      <alignment horizontal="center" vertical="center"/>
      <protection hidden="1"/>
    </xf>
    <xf numFmtId="0" fontId="2" fillId="0" borderId="43" xfId="0" applyFont="1" applyBorder="1" applyAlignment="1" applyProtection="1">
      <alignment horizontal="center" vertical="center"/>
      <protection hidden="1"/>
    </xf>
    <xf numFmtId="4" fontId="5" fillId="0" borderId="3" xfId="0" applyNumberFormat="1" applyFont="1" applyBorder="1" applyAlignment="1" applyProtection="1">
      <alignment vertical="center"/>
      <protection hidden="1"/>
    </xf>
    <xf numFmtId="2" fontId="2" fillId="0" borderId="48" xfId="0" applyNumberFormat="1" applyFont="1" applyBorder="1" applyAlignment="1" applyProtection="1">
      <alignment vertical="center"/>
      <protection hidden="1"/>
    </xf>
    <xf numFmtId="0" fontId="9" fillId="11" borderId="19" xfId="0" applyFont="1" applyFill="1" applyBorder="1" applyAlignment="1" applyProtection="1">
      <alignment horizontal="center" vertical="center"/>
      <protection hidden="1"/>
    </xf>
    <xf numFmtId="0" fontId="5" fillId="11" borderId="19" xfId="0" applyFont="1" applyFill="1" applyBorder="1" applyAlignment="1" applyProtection="1">
      <alignment horizontal="center" vertical="center" wrapText="1"/>
      <protection hidden="1"/>
    </xf>
    <xf numFmtId="0" fontId="0" fillId="15" borderId="3" xfId="0" applyFill="1" applyBorder="1"/>
    <xf numFmtId="0" fontId="0" fillId="15" borderId="24" xfId="0" applyFill="1" applyBorder="1"/>
    <xf numFmtId="0" fontId="0" fillId="15" borderId="5" xfId="0" applyFill="1" applyBorder="1"/>
    <xf numFmtId="0" fontId="0" fillId="15" borderId="45" xfId="0" applyFill="1" applyBorder="1"/>
    <xf numFmtId="0" fontId="76" fillId="0" borderId="0" xfId="0" applyFont="1"/>
    <xf numFmtId="0" fontId="3" fillId="0" borderId="0" xfId="0" applyFont="1" applyAlignment="1">
      <alignment vertical="center"/>
    </xf>
    <xf numFmtId="0" fontId="63" fillId="15" borderId="19" xfId="0" applyFont="1" applyFill="1" applyBorder="1" applyAlignment="1" applyProtection="1">
      <alignment horizontal="center" vertical="center"/>
      <protection hidden="1"/>
    </xf>
    <xf numFmtId="0" fontId="63" fillId="15" borderId="19" xfId="0" quotePrefix="1" applyFont="1" applyFill="1" applyBorder="1" applyAlignment="1" applyProtection="1">
      <alignment horizontal="center" vertical="center"/>
      <protection hidden="1"/>
    </xf>
    <xf numFmtId="0" fontId="63" fillId="15" borderId="13" xfId="0" quotePrefix="1" applyFont="1" applyFill="1" applyBorder="1" applyAlignment="1" applyProtection="1">
      <alignment horizontal="center" vertical="center"/>
      <protection hidden="1"/>
    </xf>
    <xf numFmtId="0" fontId="63" fillId="15" borderId="6" xfId="0" applyFont="1" applyFill="1" applyBorder="1" applyAlignment="1" applyProtection="1">
      <alignment horizontal="left" vertical="center"/>
      <protection hidden="1"/>
    </xf>
    <xf numFmtId="0" fontId="46" fillId="11" borderId="48" xfId="0" applyFont="1" applyFill="1" applyBorder="1" applyAlignment="1" applyProtection="1">
      <alignment horizontal="center" vertical="center"/>
      <protection hidden="1"/>
    </xf>
    <xf numFmtId="1" fontId="71" fillId="11" borderId="67" xfId="0" quotePrefix="1" applyNumberFormat="1" applyFont="1" applyFill="1" applyBorder="1" applyAlignment="1" applyProtection="1">
      <alignment horizontal="left" vertical="center"/>
      <protection hidden="1"/>
    </xf>
    <xf numFmtId="0" fontId="5" fillId="0" borderId="13" xfId="0" applyFont="1" applyBorder="1" applyAlignment="1" applyProtection="1">
      <alignment horizontal="left" vertical="center"/>
      <protection hidden="1"/>
    </xf>
    <xf numFmtId="0" fontId="24" fillId="15" borderId="0" xfId="0" applyFont="1" applyFill="1" applyAlignment="1">
      <alignment vertical="top"/>
    </xf>
    <xf numFmtId="0" fontId="22" fillId="15" borderId="0" xfId="0" applyFont="1" applyFill="1" applyAlignment="1">
      <alignment horizontal="center" vertical="center"/>
    </xf>
    <xf numFmtId="0" fontId="40" fillId="15" borderId="0" xfId="0" applyFont="1" applyFill="1" applyAlignment="1">
      <alignment horizontal="center" vertical="center"/>
    </xf>
    <xf numFmtId="0" fontId="40" fillId="15" borderId="0" xfId="0" applyFont="1" applyFill="1" applyAlignment="1">
      <alignment horizontal="center" vertical="top"/>
    </xf>
    <xf numFmtId="0" fontId="15" fillId="15" borderId="0" xfId="0" applyFont="1" applyFill="1" applyAlignment="1">
      <alignment vertical="top"/>
    </xf>
    <xf numFmtId="0" fontId="16" fillId="15" borderId="0" xfId="0" applyFont="1" applyFill="1" applyAlignment="1">
      <alignment horizontal="center" vertical="center"/>
    </xf>
    <xf numFmtId="0" fontId="22" fillId="15" borderId="0" xfId="0" applyFont="1" applyFill="1" applyAlignment="1">
      <alignment horizontal="left" vertical="center"/>
    </xf>
    <xf numFmtId="0" fontId="24" fillId="15" borderId="0" xfId="0" applyFont="1" applyFill="1" applyAlignment="1">
      <alignment horizontal="center" vertical="center"/>
    </xf>
    <xf numFmtId="0" fontId="24" fillId="15" borderId="21" xfId="0" applyFont="1" applyFill="1" applyBorder="1" applyAlignment="1">
      <alignment horizontal="center" vertical="top"/>
    </xf>
    <xf numFmtId="0" fontId="24" fillId="15" borderId="5" xfId="0" applyFont="1" applyFill="1" applyBorder="1" applyAlignment="1">
      <alignment horizontal="center" vertical="center"/>
    </xf>
    <xf numFmtId="0" fontId="24" fillId="15" borderId="45" xfId="0" applyFont="1" applyFill="1" applyBorder="1" applyAlignment="1">
      <alignment horizontal="center" vertical="center"/>
    </xf>
    <xf numFmtId="0" fontId="24" fillId="15" borderId="21" xfId="0" applyFont="1" applyFill="1" applyBorder="1" applyAlignment="1">
      <alignment horizontal="center" vertical="center"/>
    </xf>
    <xf numFmtId="0" fontId="24" fillId="15" borderId="19" xfId="0" applyFont="1" applyFill="1" applyBorder="1" applyAlignment="1">
      <alignment horizontal="center" vertical="center"/>
    </xf>
    <xf numFmtId="0" fontId="37" fillId="15" borderId="0" xfId="0" applyFont="1" applyFill="1" applyAlignment="1">
      <alignment vertical="top"/>
    </xf>
    <xf numFmtId="0" fontId="7" fillId="15" borderId="0" xfId="0" applyFont="1" applyFill="1" applyAlignment="1">
      <alignment horizontal="right" vertical="top"/>
    </xf>
    <xf numFmtId="0" fontId="38" fillId="15" borderId="0" xfId="0" applyFont="1" applyFill="1" applyAlignment="1">
      <alignment vertical="top"/>
    </xf>
    <xf numFmtId="0" fontId="37" fillId="15" borderId="39" xfId="0" applyFont="1" applyFill="1" applyBorder="1" applyAlignment="1">
      <alignment vertical="top"/>
    </xf>
    <xf numFmtId="0" fontId="9" fillId="15" borderId="21" xfId="0" applyFont="1" applyFill="1" applyBorder="1" applyAlignment="1">
      <alignment horizontal="center" vertical="top"/>
    </xf>
    <xf numFmtId="0" fontId="73" fillId="15" borderId="39" xfId="0" applyFont="1" applyFill="1" applyBorder="1" applyAlignment="1">
      <alignment horizontal="center" vertical="center"/>
    </xf>
    <xf numFmtId="0" fontId="73" fillId="15" borderId="2" xfId="0" applyFont="1" applyFill="1" applyBorder="1" applyAlignment="1">
      <alignment horizontal="center" vertical="center"/>
    </xf>
    <xf numFmtId="0" fontId="73" fillId="15" borderId="4" xfId="0" applyFont="1" applyFill="1" applyBorder="1" applyAlignment="1">
      <alignment horizontal="center" vertical="center"/>
    </xf>
    <xf numFmtId="0" fontId="73" fillId="15" borderId="0" xfId="0" applyFont="1" applyFill="1" applyAlignment="1">
      <alignment horizontal="center" vertical="center"/>
    </xf>
    <xf numFmtId="0" fontId="73" fillId="15" borderId="0" xfId="0" applyFont="1" applyFill="1" applyAlignment="1">
      <alignment horizontal="center" vertical="top"/>
    </xf>
    <xf numFmtId="0" fontId="73" fillId="15" borderId="39" xfId="0" applyFont="1" applyFill="1" applyBorder="1" applyAlignment="1">
      <alignment horizontal="center" vertical="top"/>
    </xf>
    <xf numFmtId="0" fontId="73" fillId="15" borderId="2" xfId="0" applyFont="1" applyFill="1" applyBorder="1" applyAlignment="1">
      <alignment horizontal="center" vertical="top"/>
    </xf>
    <xf numFmtId="0" fontId="73" fillId="15" borderId="4" xfId="0" applyFont="1" applyFill="1" applyBorder="1" applyAlignment="1">
      <alignment horizontal="center" vertical="top"/>
    </xf>
    <xf numFmtId="0" fontId="73" fillId="15" borderId="13" xfId="0" applyFont="1" applyFill="1" applyBorder="1" applyAlignment="1">
      <alignment horizontal="center" vertical="top"/>
    </xf>
    <xf numFmtId="0" fontId="12" fillId="15" borderId="0" xfId="0" applyFont="1" applyFill="1" applyAlignment="1">
      <alignment vertical="top"/>
    </xf>
    <xf numFmtId="0" fontId="37" fillId="4" borderId="5" xfId="0" applyFont="1" applyFill="1" applyBorder="1" applyAlignment="1">
      <alignment vertical="center" wrapText="1"/>
    </xf>
    <xf numFmtId="0" fontId="9" fillId="4" borderId="39" xfId="0" applyFont="1" applyFill="1" applyBorder="1" applyAlignment="1">
      <alignment horizontal="justify" vertical="center"/>
    </xf>
    <xf numFmtId="0" fontId="7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37" fillId="4" borderId="23" xfId="0" applyFont="1" applyFill="1" applyBorder="1" applyAlignment="1">
      <alignment vertical="center"/>
    </xf>
    <xf numFmtId="0" fontId="37" fillId="4" borderId="45" xfId="0" applyFont="1" applyFill="1" applyBorder="1" applyAlignment="1">
      <alignment horizontal="left" vertical="center" wrapText="1" indent="1"/>
    </xf>
    <xf numFmtId="0" fontId="7" fillId="4" borderId="45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/>
    </xf>
    <xf numFmtId="0" fontId="37" fillId="4" borderId="0" xfId="0" applyFont="1" applyFill="1" applyAlignment="1">
      <alignment vertical="center"/>
    </xf>
    <xf numFmtId="0" fontId="9" fillId="4" borderId="21" xfId="0" applyFont="1" applyFill="1" applyBorder="1" applyAlignment="1">
      <alignment horizontal="center" vertical="center"/>
    </xf>
    <xf numFmtId="0" fontId="37" fillId="4" borderId="7" xfId="0" applyFont="1" applyFill="1" applyBorder="1" applyAlignment="1">
      <alignment vertical="center"/>
    </xf>
    <xf numFmtId="0" fontId="9" fillId="4" borderId="5" xfId="0" applyFont="1" applyFill="1" applyBorder="1" applyAlignment="1">
      <alignment horizontal="left" vertical="center" wrapText="1" indent="1"/>
    </xf>
    <xf numFmtId="0" fontId="2" fillId="4" borderId="5" xfId="0" applyFont="1" applyFill="1" applyBorder="1" applyAlignment="1">
      <alignment horizontal="center" vertical="center" wrapText="1"/>
    </xf>
    <xf numFmtId="1" fontId="9" fillId="4" borderId="0" xfId="0" applyNumberFormat="1" applyFont="1" applyFill="1" applyAlignment="1">
      <alignment vertical="center"/>
    </xf>
    <xf numFmtId="0" fontId="37" fillId="4" borderId="45" xfId="0" applyFont="1" applyFill="1" applyBorder="1" applyAlignment="1">
      <alignment vertical="center" wrapText="1"/>
    </xf>
    <xf numFmtId="1" fontId="9" fillId="4" borderId="0" xfId="0" quotePrefix="1" applyNumberFormat="1" applyFont="1" applyFill="1" applyAlignment="1">
      <alignment vertical="center"/>
    </xf>
    <xf numFmtId="0" fontId="37" fillId="4" borderId="19" xfId="0" applyFont="1" applyFill="1" applyBorder="1" applyAlignment="1">
      <alignment horizontal="left" vertical="center" wrapText="1" indent="1"/>
    </xf>
    <xf numFmtId="0" fontId="9" fillId="4" borderId="19" xfId="0" applyFont="1" applyFill="1" applyBorder="1" applyAlignment="1">
      <alignment horizontal="center" vertical="center"/>
    </xf>
    <xf numFmtId="0" fontId="37" fillId="4" borderId="34" xfId="0" applyFont="1" applyFill="1" applyBorder="1" applyAlignment="1">
      <alignment horizontal="left" vertical="center" indent="1"/>
    </xf>
    <xf numFmtId="0" fontId="37" fillId="4" borderId="1" xfId="0" applyFont="1" applyFill="1" applyBorder="1" applyAlignment="1">
      <alignment vertical="center"/>
    </xf>
    <xf numFmtId="0" fontId="37" fillId="4" borderId="0" xfId="0" applyFont="1" applyFill="1" applyAlignment="1">
      <alignment vertical="top"/>
    </xf>
    <xf numFmtId="0" fontId="37" fillId="4" borderId="7" xfId="0" applyFont="1" applyFill="1" applyBorder="1" applyAlignment="1">
      <alignment vertical="top"/>
    </xf>
    <xf numFmtId="0" fontId="37" fillId="4" borderId="24" xfId="0" applyFont="1" applyFill="1" applyBorder="1" applyAlignment="1">
      <alignment vertical="top"/>
    </xf>
    <xf numFmtId="0" fontId="2" fillId="4" borderId="19" xfId="0" applyFont="1" applyFill="1" applyBorder="1" applyAlignment="1">
      <alignment horizontal="center" vertical="center"/>
    </xf>
    <xf numFmtId="0" fontId="37" fillId="4" borderId="5" xfId="0" applyFont="1" applyFill="1" applyBorder="1" applyAlignment="1">
      <alignment horizontal="left" vertical="center" wrapText="1" indent="1"/>
    </xf>
    <xf numFmtId="0" fontId="2" fillId="4" borderId="5" xfId="0" applyFont="1" applyFill="1" applyBorder="1" applyAlignment="1">
      <alignment horizontal="center" vertical="center"/>
    </xf>
    <xf numFmtId="0" fontId="37" fillId="4" borderId="21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horizontal="center" vertical="center"/>
    </xf>
    <xf numFmtId="0" fontId="37" fillId="4" borderId="23" xfId="0" applyFont="1" applyFill="1" applyBorder="1" applyAlignment="1">
      <alignment vertical="top"/>
    </xf>
    <xf numFmtId="0" fontId="38" fillId="4" borderId="21" xfId="0" applyFont="1" applyFill="1" applyBorder="1" applyAlignment="1">
      <alignment vertical="top"/>
    </xf>
    <xf numFmtId="0" fontId="37" fillId="4" borderId="21" xfId="0" applyFont="1" applyFill="1" applyBorder="1" applyAlignment="1">
      <alignment vertical="top"/>
    </xf>
    <xf numFmtId="0" fontId="9" fillId="4" borderId="2" xfId="0" quotePrefix="1" applyFont="1" applyFill="1" applyBorder="1" applyAlignment="1">
      <alignment horizontal="justify" vertical="center"/>
    </xf>
    <xf numFmtId="0" fontId="9" fillId="4" borderId="2" xfId="0" applyFont="1" applyFill="1" applyBorder="1" applyAlignment="1">
      <alignment horizontal="justify" vertical="center"/>
    </xf>
    <xf numFmtId="0" fontId="9" fillId="4" borderId="2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justify" vertical="top"/>
    </xf>
    <xf numFmtId="0" fontId="9" fillId="4" borderId="0" xfId="0" applyFont="1" applyFill="1" applyAlignment="1">
      <alignment horizontal="justify" vertical="top"/>
    </xf>
    <xf numFmtId="0" fontId="9" fillId="4" borderId="7" xfId="0" applyFont="1" applyFill="1" applyBorder="1" applyAlignment="1">
      <alignment horizontal="justify" vertical="top"/>
    </xf>
    <xf numFmtId="0" fontId="0" fillId="4" borderId="4" xfId="0" applyFill="1" applyBorder="1" applyAlignment="1">
      <alignment horizontal="justify" vertical="top"/>
    </xf>
    <xf numFmtId="0" fontId="9" fillId="4" borderId="7" xfId="0" applyFont="1" applyFill="1" applyBorder="1" applyAlignment="1">
      <alignment horizontal="left" vertical="top" wrapText="1" indent="1"/>
    </xf>
    <xf numFmtId="0" fontId="9" fillId="4" borderId="4" xfId="0" applyFont="1" applyFill="1" applyBorder="1" applyAlignment="1">
      <alignment horizontal="justify" vertical="top"/>
    </xf>
    <xf numFmtId="0" fontId="9" fillId="4" borderId="4" xfId="0" applyFont="1" applyFill="1" applyBorder="1" applyAlignment="1">
      <alignment horizontal="left" vertical="center" wrapText="1" indent="1"/>
    </xf>
    <xf numFmtId="0" fontId="7" fillId="4" borderId="21" xfId="0" applyFont="1" applyFill="1" applyBorder="1" applyAlignment="1">
      <alignment horizontal="center" vertical="center" wrapText="1"/>
    </xf>
    <xf numFmtId="1" fontId="9" fillId="4" borderId="7" xfId="0" applyNumberFormat="1" applyFont="1" applyFill="1" applyBorder="1" applyAlignment="1">
      <alignment vertical="center"/>
    </xf>
    <xf numFmtId="0" fontId="80" fillId="0" borderId="0" xfId="0" applyFont="1"/>
    <xf numFmtId="0" fontId="5" fillId="0" borderId="24" xfId="0" applyFont="1" applyBorder="1" applyProtection="1">
      <protection hidden="1"/>
    </xf>
    <xf numFmtId="0" fontId="5" fillId="11" borderId="37" xfId="0" applyFont="1" applyFill="1" applyBorder="1" applyAlignment="1" applyProtection="1">
      <alignment horizontal="center" wrapText="1"/>
      <protection hidden="1"/>
    </xf>
    <xf numFmtId="0" fontId="5" fillId="0" borderId="27" xfId="0" applyFont="1" applyBorder="1" applyProtection="1">
      <protection hidden="1"/>
    </xf>
    <xf numFmtId="0" fontId="9" fillId="4" borderId="2" xfId="0" applyFont="1" applyFill="1" applyBorder="1" applyAlignment="1">
      <alignment horizontal="left" vertical="center" wrapText="1" indent="1"/>
    </xf>
    <xf numFmtId="0" fontId="23" fillId="2" borderId="7" xfId="0" applyFont="1" applyFill="1" applyBorder="1" applyAlignment="1" applyProtection="1">
      <alignment horizontal="center" vertical="top"/>
      <protection hidden="1"/>
    </xf>
    <xf numFmtId="0" fontId="14" fillId="2" borderId="7" xfId="0" applyFont="1" applyFill="1" applyBorder="1" applyAlignment="1" applyProtection="1">
      <alignment vertical="top"/>
      <protection hidden="1"/>
    </xf>
    <xf numFmtId="0" fontId="5" fillId="0" borderId="6" xfId="0" applyFont="1" applyBorder="1" applyAlignment="1" applyProtection="1">
      <alignment horizontal="justify" vertical="top"/>
      <protection hidden="1"/>
    </xf>
    <xf numFmtId="0" fontId="5" fillId="0" borderId="7" xfId="0" applyFont="1" applyBorder="1" applyProtection="1">
      <protection hidden="1"/>
    </xf>
    <xf numFmtId="2" fontId="5" fillId="0" borderId="68" xfId="0" applyNumberFormat="1" applyFont="1" applyBorder="1" applyAlignment="1" applyProtection="1">
      <alignment horizontal="center" vertical="center" wrapText="1"/>
      <protection hidden="1"/>
    </xf>
    <xf numFmtId="165" fontId="5" fillId="0" borderId="23" xfId="0" applyNumberFormat="1" applyFont="1" applyBorder="1" applyAlignment="1" applyProtection="1">
      <alignment horizontal="center" vertical="center" wrapText="1"/>
      <protection hidden="1"/>
    </xf>
    <xf numFmtId="2" fontId="2" fillId="0" borderId="39" xfId="0" applyNumberFormat="1" applyFont="1" applyBorder="1" applyAlignment="1" applyProtection="1">
      <alignment horizontal="center" vertical="center" wrapText="1"/>
      <protection hidden="1"/>
    </xf>
    <xf numFmtId="165" fontId="5" fillId="0" borderId="7" xfId="0" applyNumberFormat="1" applyFont="1" applyBorder="1" applyAlignment="1" applyProtection="1">
      <alignment horizontal="center" vertical="center" wrapText="1"/>
      <protection hidden="1"/>
    </xf>
    <xf numFmtId="2" fontId="2" fillId="0" borderId="4" xfId="0" applyNumberFormat="1" applyFont="1" applyBorder="1" applyAlignment="1" applyProtection="1">
      <alignment horizontal="center" vertical="center" wrapText="1"/>
      <protection hidden="1"/>
    </xf>
    <xf numFmtId="2" fontId="2" fillId="0" borderId="69" xfId="0" applyNumberFormat="1" applyFont="1" applyBorder="1" applyAlignment="1" applyProtection="1">
      <alignment horizontal="center" vertical="center" wrapText="1"/>
      <protection hidden="1"/>
    </xf>
    <xf numFmtId="2" fontId="5" fillId="0" borderId="5" xfId="0" applyNumberFormat="1" applyFont="1" applyBorder="1" applyAlignment="1" applyProtection="1">
      <alignment horizontal="center" vertical="center" wrapText="1"/>
      <protection hidden="1"/>
    </xf>
    <xf numFmtId="2" fontId="5" fillId="0" borderId="21" xfId="0" applyNumberFormat="1" applyFont="1" applyBorder="1" applyAlignment="1" applyProtection="1">
      <alignment horizontal="center" vertical="center" wrapText="1"/>
      <protection hidden="1"/>
    </xf>
    <xf numFmtId="2" fontId="5" fillId="0" borderId="71" xfId="0" applyNumberFormat="1" applyFont="1" applyBorder="1" applyAlignment="1" applyProtection="1">
      <alignment horizontal="center" vertical="center" wrapText="1"/>
      <protection hidden="1"/>
    </xf>
    <xf numFmtId="2" fontId="2" fillId="0" borderId="72" xfId="0" applyNumberFormat="1" applyFont="1" applyBorder="1" applyAlignment="1" applyProtection="1">
      <alignment horizontal="center" vertical="center" wrapText="1"/>
      <protection hidden="1"/>
    </xf>
    <xf numFmtId="0" fontId="5" fillId="11" borderId="35" xfId="0" applyFont="1" applyFill="1" applyBorder="1" applyAlignment="1" applyProtection="1">
      <alignment horizontal="center" vertical="center" wrapText="1"/>
      <protection hidden="1"/>
    </xf>
    <xf numFmtId="0" fontId="5" fillId="0" borderId="68" xfId="0" applyFont="1" applyBorder="1" applyAlignment="1" applyProtection="1">
      <alignment horizontal="left" vertical="center"/>
      <protection hidden="1"/>
    </xf>
    <xf numFmtId="0" fontId="2" fillId="0" borderId="73" xfId="0" applyFont="1" applyBorder="1" applyAlignment="1" applyProtection="1">
      <alignment horizontal="left" vertical="center"/>
      <protection hidden="1"/>
    </xf>
    <xf numFmtId="170" fontId="2" fillId="0" borderId="0" xfId="0" applyNumberFormat="1" applyFont="1" applyAlignment="1" applyProtection="1">
      <alignment horizontal="left" vertical="center"/>
      <protection hidden="1"/>
    </xf>
    <xf numFmtId="0" fontId="5" fillId="0" borderId="39" xfId="0" applyFont="1" applyBorder="1" applyAlignment="1" applyProtection="1">
      <alignment vertical="center"/>
      <protection hidden="1"/>
    </xf>
    <xf numFmtId="2" fontId="2" fillId="0" borderId="0" xfId="0" applyNumberFormat="1" applyFont="1" applyProtection="1">
      <protection hidden="1"/>
    </xf>
    <xf numFmtId="0" fontId="2" fillId="4" borderId="45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left" vertical="center" wrapText="1" indent="1"/>
    </xf>
    <xf numFmtId="0" fontId="24" fillId="15" borderId="75" xfId="0" applyFont="1" applyFill="1" applyBorder="1" applyAlignment="1">
      <alignment horizontal="center" vertical="center"/>
    </xf>
    <xf numFmtId="0" fontId="9" fillId="4" borderId="75" xfId="0" applyFont="1" applyFill="1" applyBorder="1" applyAlignment="1">
      <alignment horizontal="left" vertical="center" wrapText="1" indent="1"/>
    </xf>
    <xf numFmtId="0" fontId="2" fillId="4" borderId="75" xfId="0" applyFont="1" applyFill="1" applyBorder="1" applyAlignment="1">
      <alignment horizontal="center" vertical="center"/>
    </xf>
    <xf numFmtId="0" fontId="9" fillId="4" borderId="75" xfId="0" applyFont="1" applyFill="1" applyBorder="1" applyAlignment="1">
      <alignment horizontal="center" vertical="center"/>
    </xf>
    <xf numFmtId="0" fontId="24" fillId="15" borderId="37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vertical="center" wrapText="1"/>
    </xf>
    <xf numFmtId="0" fontId="2" fillId="4" borderId="37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37" fillId="4" borderId="27" xfId="0" applyFont="1" applyFill="1" applyBorder="1" applyAlignment="1">
      <alignment vertical="top"/>
    </xf>
    <xf numFmtId="0" fontId="7" fillId="4" borderId="5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left" vertical="center" wrapText="1" indent="1"/>
    </xf>
    <xf numFmtId="0" fontId="7" fillId="4" borderId="21" xfId="0" applyFont="1" applyFill="1" applyBorder="1" applyAlignment="1">
      <alignment horizontal="center" vertical="center"/>
    </xf>
    <xf numFmtId="0" fontId="24" fillId="15" borderId="76" xfId="0" applyFont="1" applyFill="1" applyBorder="1" applyAlignment="1">
      <alignment horizontal="center" vertical="center"/>
    </xf>
    <xf numFmtId="0" fontId="9" fillId="4" borderId="76" xfId="0" applyFont="1" applyFill="1" applyBorder="1" applyAlignment="1">
      <alignment horizontal="left" vertical="center" wrapText="1" indent="1"/>
    </xf>
    <xf numFmtId="0" fontId="7" fillId="4" borderId="76" xfId="0" applyFont="1" applyFill="1" applyBorder="1" applyAlignment="1">
      <alignment horizontal="center" vertical="center"/>
    </xf>
    <xf numFmtId="0" fontId="9" fillId="4" borderId="76" xfId="0" applyFont="1" applyFill="1" applyBorder="1" applyAlignment="1">
      <alignment horizontal="center" vertical="center"/>
    </xf>
    <xf numFmtId="0" fontId="24" fillId="15" borderId="77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left" vertical="center" wrapText="1" indent="1"/>
    </xf>
    <xf numFmtId="0" fontId="7" fillId="4" borderId="77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/>
    </xf>
    <xf numFmtId="0" fontId="37" fillId="4" borderId="61" xfId="0" applyFont="1" applyFill="1" applyBorder="1" applyAlignment="1">
      <alignment vertical="center"/>
    </xf>
    <xf numFmtId="0" fontId="37" fillId="4" borderId="61" xfId="0" applyFont="1" applyFill="1" applyBorder="1" applyAlignment="1">
      <alignment vertical="top"/>
    </xf>
    <xf numFmtId="0" fontId="37" fillId="4" borderId="77" xfId="0" applyFont="1" applyFill="1" applyBorder="1" applyAlignment="1">
      <alignment vertical="center" wrapText="1"/>
    </xf>
    <xf numFmtId="0" fontId="38" fillId="4" borderId="77" xfId="0" applyFont="1" applyFill="1" applyBorder="1" applyAlignment="1">
      <alignment vertical="top"/>
    </xf>
    <xf numFmtId="0" fontId="2" fillId="4" borderId="76" xfId="0" applyFont="1" applyFill="1" applyBorder="1" applyAlignment="1">
      <alignment horizontal="center" vertical="center"/>
    </xf>
    <xf numFmtId="0" fontId="37" fillId="4" borderId="78" xfId="0" applyFont="1" applyFill="1" applyBorder="1" applyAlignment="1">
      <alignment vertical="top"/>
    </xf>
    <xf numFmtId="0" fontId="37" fillId="4" borderId="76" xfId="0" applyFont="1" applyFill="1" applyBorder="1" applyAlignment="1">
      <alignment horizontal="left" vertical="center" wrapText="1" indent="1"/>
    </xf>
    <xf numFmtId="0" fontId="37" fillId="4" borderId="21" xfId="0" applyFont="1" applyFill="1" applyBorder="1" applyAlignment="1">
      <alignment horizontal="left" vertical="center" wrapText="1" indent="1"/>
    </xf>
    <xf numFmtId="0" fontId="37" fillId="4" borderId="77" xfId="0" applyFont="1" applyFill="1" applyBorder="1" applyAlignment="1">
      <alignment horizontal="left" vertical="center" wrapText="1" indent="1"/>
    </xf>
    <xf numFmtId="0" fontId="2" fillId="4" borderId="77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 wrapText="1"/>
    </xf>
    <xf numFmtId="0" fontId="2" fillId="4" borderId="77" xfId="0" applyFont="1" applyFill="1" applyBorder="1" applyAlignment="1">
      <alignment horizontal="center" vertical="center" wrapText="1"/>
    </xf>
    <xf numFmtId="0" fontId="5" fillId="4" borderId="77" xfId="0" applyFont="1" applyFill="1" applyBorder="1" applyAlignment="1">
      <alignment vertical="center"/>
    </xf>
    <xf numFmtId="0" fontId="37" fillId="4" borderId="77" xfId="0" applyFont="1" applyFill="1" applyBorder="1" applyAlignment="1">
      <alignment horizontal="center" vertical="center"/>
    </xf>
    <xf numFmtId="0" fontId="42" fillId="4" borderId="77" xfId="0" applyFont="1" applyFill="1" applyBorder="1" applyAlignment="1">
      <alignment horizontal="center" vertical="center" wrapText="1"/>
    </xf>
    <xf numFmtId="1" fontId="5" fillId="4" borderId="23" xfId="0" applyNumberFormat="1" applyFont="1" applyFill="1" applyBorder="1" applyAlignment="1">
      <alignment horizontal="right" vertical="center" wrapText="1"/>
    </xf>
    <xf numFmtId="0" fontId="37" fillId="4" borderId="1" xfId="0" applyFont="1" applyFill="1" applyBorder="1" applyAlignment="1">
      <alignment horizontal="left" vertical="center" indent="1"/>
    </xf>
    <xf numFmtId="2" fontId="5" fillId="4" borderId="79" xfId="0" applyNumberFormat="1" applyFont="1" applyFill="1" applyBorder="1" applyAlignment="1">
      <alignment horizontal="right" vertical="center" wrapText="1"/>
    </xf>
    <xf numFmtId="2" fontId="5" fillId="4" borderId="61" xfId="0" applyNumberFormat="1" applyFont="1" applyFill="1" applyBorder="1" applyAlignment="1">
      <alignment horizontal="right" vertical="center" wrapText="1"/>
    </xf>
    <xf numFmtId="0" fontId="9" fillId="4" borderId="45" xfId="0" applyFont="1" applyFill="1" applyBorder="1" applyAlignment="1">
      <alignment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2" fillId="4" borderId="75" xfId="0" applyFont="1" applyFill="1" applyBorder="1" applyAlignment="1">
      <alignment horizontal="center" vertical="center" wrapText="1"/>
    </xf>
    <xf numFmtId="0" fontId="37" fillId="4" borderId="80" xfId="0" applyFont="1" applyFill="1" applyBorder="1" applyAlignment="1">
      <alignment vertical="center"/>
    </xf>
    <xf numFmtId="0" fontId="37" fillId="4" borderId="75" xfId="0" applyFont="1" applyFill="1" applyBorder="1" applyAlignment="1">
      <alignment horizontal="left" vertical="center" wrapText="1" indent="1"/>
    </xf>
    <xf numFmtId="0" fontId="2" fillId="4" borderId="76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2" fontId="5" fillId="4" borderId="36" xfId="0" applyNumberFormat="1" applyFont="1" applyFill="1" applyBorder="1" applyAlignment="1">
      <alignment horizontal="right" vertical="center" wrapText="1"/>
    </xf>
    <xf numFmtId="0" fontId="37" fillId="4" borderId="27" xfId="0" applyFont="1" applyFill="1" applyBorder="1" applyAlignment="1">
      <alignment vertical="center"/>
    </xf>
    <xf numFmtId="2" fontId="5" fillId="4" borderId="27" xfId="0" applyNumberFormat="1" applyFont="1" applyFill="1" applyBorder="1" applyAlignment="1">
      <alignment horizontal="right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3" fillId="11" borderId="81" xfId="0" applyFont="1" applyFill="1" applyBorder="1" applyAlignment="1" applyProtection="1">
      <alignment horizontal="center" vertical="center"/>
      <protection hidden="1"/>
    </xf>
    <xf numFmtId="0" fontId="3" fillId="11" borderId="14" xfId="0" applyFont="1" applyFill="1" applyBorder="1" applyAlignment="1" applyProtection="1">
      <alignment horizontal="center" vertical="center"/>
      <protection hidden="1"/>
    </xf>
    <xf numFmtId="0" fontId="5" fillId="11" borderId="0" xfId="0" applyFont="1" applyFill="1" applyAlignment="1" applyProtection="1">
      <alignment horizontal="center"/>
      <protection hidden="1"/>
    </xf>
    <xf numFmtId="0" fontId="23" fillId="5" borderId="0" xfId="0" applyFont="1" applyFill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2" fontId="5" fillId="0" borderId="0" xfId="0" applyNumberFormat="1" applyFont="1" applyAlignment="1" applyProtection="1">
      <alignment horizontal="center" vertical="center" wrapText="1"/>
      <protection hidden="1"/>
    </xf>
    <xf numFmtId="2" fontId="2" fillId="0" borderId="3" xfId="0" applyNumberFormat="1" applyFont="1" applyBorder="1" applyAlignment="1" applyProtection="1">
      <alignment horizontal="center" vertical="center" wrapText="1"/>
      <protection hidden="1"/>
    </xf>
    <xf numFmtId="0" fontId="3" fillId="11" borderId="80" xfId="0" applyFont="1" applyFill="1" applyBorder="1" applyAlignment="1" applyProtection="1">
      <alignment horizontal="center"/>
      <protection hidden="1"/>
    </xf>
    <xf numFmtId="0" fontId="3" fillId="11" borderId="64" xfId="0" applyFont="1" applyFill="1" applyBorder="1" applyAlignment="1" applyProtection="1">
      <alignment horizontal="center"/>
      <protection hidden="1"/>
    </xf>
    <xf numFmtId="0" fontId="3" fillId="11" borderId="7" xfId="0" applyFont="1" applyFill="1" applyBorder="1" applyAlignment="1" applyProtection="1">
      <alignment horizontal="center" vertical="center"/>
      <protection hidden="1"/>
    </xf>
    <xf numFmtId="0" fontId="3" fillId="11" borderId="74" xfId="0" applyFont="1" applyFill="1" applyBorder="1" applyAlignment="1" applyProtection="1">
      <alignment horizontal="center" vertical="center"/>
      <protection hidden="1"/>
    </xf>
    <xf numFmtId="0" fontId="5" fillId="11" borderId="82" xfId="0" applyFont="1" applyFill="1" applyBorder="1" applyAlignment="1" applyProtection="1">
      <alignment horizontal="center"/>
      <protection hidden="1"/>
    </xf>
    <xf numFmtId="0" fontId="5" fillId="11" borderId="64" xfId="0" applyFont="1" applyFill="1" applyBorder="1" applyAlignment="1" applyProtection="1">
      <alignment horizontal="center"/>
      <protection hidden="1"/>
    </xf>
    <xf numFmtId="0" fontId="2" fillId="11" borderId="81" xfId="0" applyFont="1" applyFill="1" applyBorder="1" applyAlignment="1" applyProtection="1">
      <alignment horizontal="left"/>
      <protection hidden="1"/>
    </xf>
    <xf numFmtId="0" fontId="5" fillId="11" borderId="83" xfId="0" applyFont="1" applyFill="1" applyBorder="1" applyAlignment="1" applyProtection="1">
      <alignment horizontal="center"/>
      <protection hidden="1"/>
    </xf>
    <xf numFmtId="0" fontId="2" fillId="11" borderId="0" xfId="0" applyFont="1" applyFill="1" applyAlignment="1" applyProtection="1">
      <alignment horizontal="center"/>
      <protection hidden="1"/>
    </xf>
    <xf numFmtId="0" fontId="5" fillId="11" borderId="54" xfId="0" applyFont="1" applyFill="1" applyBorder="1" applyAlignment="1" applyProtection="1">
      <alignment horizontal="center"/>
      <protection hidden="1"/>
    </xf>
    <xf numFmtId="0" fontId="5" fillId="11" borderId="58" xfId="0" applyFont="1" applyFill="1" applyBorder="1" applyAlignment="1" applyProtection="1">
      <alignment horizontal="center"/>
      <protection hidden="1"/>
    </xf>
    <xf numFmtId="0" fontId="9" fillId="11" borderId="81" xfId="0" applyFont="1" applyFill="1" applyBorder="1" applyAlignment="1" applyProtection="1">
      <alignment horizontal="center"/>
      <protection hidden="1"/>
    </xf>
    <xf numFmtId="0" fontId="5" fillId="11" borderId="81" xfId="0" applyFont="1" applyFill="1" applyBorder="1" applyAlignment="1" applyProtection="1">
      <alignment horizontal="center"/>
      <protection hidden="1"/>
    </xf>
    <xf numFmtId="0" fontId="5" fillId="11" borderId="81" xfId="0" applyFont="1" applyFill="1" applyBorder="1" applyProtection="1">
      <protection hidden="1"/>
    </xf>
    <xf numFmtId="12" fontId="5" fillId="0" borderId="84" xfId="0" applyNumberFormat="1" applyFont="1" applyBorder="1" applyAlignment="1" applyProtection="1">
      <alignment horizontal="right"/>
      <protection hidden="1"/>
    </xf>
    <xf numFmtId="0" fontId="5" fillId="0" borderId="84" xfId="0" applyFont="1" applyBorder="1" applyAlignment="1" applyProtection="1">
      <alignment horizontal="center"/>
      <protection hidden="1"/>
    </xf>
    <xf numFmtId="0" fontId="5" fillId="11" borderId="85" xfId="0" applyFont="1" applyFill="1" applyBorder="1" applyAlignment="1" applyProtection="1">
      <alignment horizontal="center"/>
      <protection hidden="1"/>
    </xf>
    <xf numFmtId="0" fontId="2" fillId="0" borderId="84" xfId="0" applyFont="1" applyBorder="1" applyAlignment="1" applyProtection="1">
      <alignment horizontal="center"/>
      <protection hidden="1"/>
    </xf>
    <xf numFmtId="0" fontId="5" fillId="0" borderId="84" xfId="0" quotePrefix="1" applyFont="1" applyBorder="1" applyAlignment="1" applyProtection="1">
      <alignment horizontal="center"/>
      <protection hidden="1"/>
    </xf>
    <xf numFmtId="12" fontId="5" fillId="0" borderId="86" xfId="0" applyNumberFormat="1" applyFont="1" applyBorder="1" applyAlignment="1" applyProtection="1">
      <alignment horizontal="right"/>
      <protection hidden="1"/>
    </xf>
    <xf numFmtId="0" fontId="5" fillId="0" borderId="86" xfId="0" applyFont="1" applyBorder="1" applyAlignment="1" applyProtection="1">
      <alignment horizontal="center"/>
      <protection hidden="1"/>
    </xf>
    <xf numFmtId="0" fontId="5" fillId="11" borderId="87" xfId="0" applyFont="1" applyFill="1" applyBorder="1" applyAlignment="1" applyProtection="1">
      <alignment horizontal="center"/>
      <protection hidden="1"/>
    </xf>
    <xf numFmtId="0" fontId="2" fillId="0" borderId="86" xfId="0" applyFont="1" applyBorder="1" applyAlignment="1" applyProtection="1">
      <alignment horizontal="center"/>
      <protection hidden="1"/>
    </xf>
    <xf numFmtId="165" fontId="5" fillId="0" borderId="86" xfId="0" applyNumberFormat="1" applyFont="1" applyBorder="1" applyAlignment="1" applyProtection="1">
      <alignment horizontal="center"/>
      <protection hidden="1"/>
    </xf>
    <xf numFmtId="165" fontId="5" fillId="11" borderId="87" xfId="0" applyNumberFormat="1" applyFont="1" applyFill="1" applyBorder="1" applyAlignment="1" applyProtection="1">
      <alignment horizontal="center"/>
      <protection hidden="1"/>
    </xf>
    <xf numFmtId="2" fontId="5" fillId="0" borderId="86" xfId="0" applyNumberFormat="1" applyFont="1" applyBorder="1" applyAlignment="1" applyProtection="1">
      <alignment horizontal="center"/>
      <protection hidden="1"/>
    </xf>
    <xf numFmtId="165" fontId="2" fillId="0" borderId="86" xfId="0" applyNumberFormat="1" applyFont="1" applyBorder="1" applyAlignment="1" applyProtection="1">
      <alignment horizontal="center"/>
      <protection hidden="1"/>
    </xf>
    <xf numFmtId="12" fontId="5" fillId="0" borderId="88" xfId="0" applyNumberFormat="1" applyFont="1" applyBorder="1" applyAlignment="1" applyProtection="1">
      <alignment horizontal="right"/>
      <protection hidden="1"/>
    </xf>
    <xf numFmtId="0" fontId="5" fillId="0" borderId="88" xfId="0" applyFont="1" applyBorder="1" applyAlignment="1" applyProtection="1">
      <alignment horizontal="center"/>
      <protection hidden="1"/>
    </xf>
    <xf numFmtId="0" fontId="5" fillId="11" borderId="89" xfId="0" applyFont="1" applyFill="1" applyBorder="1" applyAlignment="1" applyProtection="1">
      <alignment horizontal="center"/>
      <protection hidden="1"/>
    </xf>
    <xf numFmtId="0" fontId="2" fillId="0" borderId="88" xfId="0" applyFont="1" applyBorder="1" applyAlignment="1" applyProtection="1">
      <alignment horizontal="center"/>
      <protection hidden="1"/>
    </xf>
    <xf numFmtId="165" fontId="2" fillId="0" borderId="88" xfId="0" applyNumberFormat="1" applyFont="1" applyBorder="1" applyAlignment="1" applyProtection="1">
      <alignment horizontal="center"/>
      <protection hidden="1"/>
    </xf>
    <xf numFmtId="165" fontId="5" fillId="0" borderId="84" xfId="0" applyNumberFormat="1" applyFont="1" applyBorder="1" applyAlignment="1" applyProtection="1">
      <alignment horizontal="center"/>
      <protection hidden="1"/>
    </xf>
    <xf numFmtId="0" fontId="23" fillId="15" borderId="90" xfId="0" applyFont="1" applyFill="1" applyBorder="1" applyAlignment="1" applyProtection="1">
      <alignment horizontal="left"/>
      <protection hidden="1"/>
    </xf>
    <xf numFmtId="0" fontId="21" fillId="15" borderId="91" xfId="0" applyFont="1" applyFill="1" applyBorder="1" applyProtection="1">
      <protection hidden="1"/>
    </xf>
    <xf numFmtId="0" fontId="14" fillId="15" borderId="91" xfId="0" applyFont="1" applyFill="1" applyBorder="1" applyProtection="1">
      <protection hidden="1"/>
    </xf>
    <xf numFmtId="0" fontId="22" fillId="15" borderId="91" xfId="0" applyFont="1" applyFill="1" applyBorder="1" applyProtection="1">
      <protection hidden="1"/>
    </xf>
    <xf numFmtId="165" fontId="5" fillId="4" borderId="92" xfId="0" applyNumberFormat="1" applyFont="1" applyFill="1" applyBorder="1" applyAlignment="1" applyProtection="1">
      <alignment vertical="center"/>
      <protection hidden="1"/>
    </xf>
    <xf numFmtId="0" fontId="5" fillId="0" borderId="71" xfId="0" applyFont="1" applyBorder="1" applyAlignment="1" applyProtection="1">
      <alignment horizontal="right" vertical="center"/>
      <protection hidden="1"/>
    </xf>
    <xf numFmtId="164" fontId="0" fillId="0" borderId="94" xfId="0" applyNumberFormat="1" applyBorder="1" applyAlignment="1" applyProtection="1">
      <alignment vertical="center"/>
      <protection hidden="1"/>
    </xf>
    <xf numFmtId="164" fontId="0" fillId="0" borderId="95" xfId="0" applyNumberFormat="1" applyBorder="1" applyAlignment="1" applyProtection="1">
      <alignment vertical="center"/>
      <protection hidden="1"/>
    </xf>
    <xf numFmtId="0" fontId="14" fillId="0" borderId="24" xfId="0" applyFont="1" applyBorder="1" applyProtection="1">
      <protection hidden="1"/>
    </xf>
    <xf numFmtId="0" fontId="14" fillId="0" borderId="0" xfId="0" applyFont="1" applyProtection="1"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5" fillId="3" borderId="24" xfId="0" applyFont="1" applyFill="1" applyBorder="1" applyAlignment="1" applyProtection="1">
      <alignment vertical="center"/>
      <protection hidden="1"/>
    </xf>
    <xf numFmtId="165" fontId="2" fillId="3" borderId="19" xfId="0" applyNumberFormat="1" applyFont="1" applyFill="1" applyBorder="1" applyAlignment="1" applyProtection="1">
      <alignment vertical="center"/>
      <protection hidden="1"/>
    </xf>
    <xf numFmtId="2" fontId="2" fillId="4" borderId="19" xfId="0" applyNumberFormat="1" applyFont="1" applyFill="1" applyBorder="1" applyAlignment="1" applyProtection="1">
      <alignment vertical="center"/>
      <protection hidden="1"/>
    </xf>
    <xf numFmtId="0" fontId="2" fillId="4" borderId="6" xfId="0" applyFont="1" applyFill="1" applyBorder="1" applyAlignment="1" applyProtection="1">
      <alignment vertical="center"/>
      <protection hidden="1"/>
    </xf>
    <xf numFmtId="0" fontId="5" fillId="4" borderId="24" xfId="0" applyFont="1" applyFill="1" applyBorder="1" applyAlignment="1" applyProtection="1">
      <alignment vertical="center"/>
      <protection hidden="1"/>
    </xf>
    <xf numFmtId="0" fontId="5" fillId="4" borderId="13" xfId="0" applyFont="1" applyFill="1" applyBorder="1" applyAlignment="1" applyProtection="1">
      <alignment vertical="center"/>
      <protection hidden="1"/>
    </xf>
    <xf numFmtId="165" fontId="2" fillId="4" borderId="19" xfId="0" applyNumberFormat="1" applyFont="1" applyFill="1" applyBorder="1" applyAlignment="1" applyProtection="1">
      <alignment vertical="center"/>
      <protection hidden="1"/>
    </xf>
    <xf numFmtId="2" fontId="2" fillId="10" borderId="19" xfId="0" applyNumberFormat="1" applyFont="1" applyFill="1" applyBorder="1" applyAlignment="1" applyProtection="1">
      <alignment vertical="center"/>
      <protection hidden="1"/>
    </xf>
    <xf numFmtId="0" fontId="2" fillId="10" borderId="6" xfId="0" applyFont="1" applyFill="1" applyBorder="1" applyAlignment="1" applyProtection="1">
      <alignment vertical="center"/>
      <protection hidden="1"/>
    </xf>
    <xf numFmtId="0" fontId="5" fillId="10" borderId="24" xfId="0" applyFont="1" applyFill="1" applyBorder="1" applyAlignment="1" applyProtection="1">
      <alignment vertical="center"/>
      <protection hidden="1"/>
    </xf>
    <xf numFmtId="0" fontId="5" fillId="10" borderId="13" xfId="0" applyFont="1" applyFill="1" applyBorder="1" applyAlignment="1" applyProtection="1">
      <alignment vertical="center"/>
      <protection hidden="1"/>
    </xf>
    <xf numFmtId="166" fontId="2" fillId="4" borderId="19" xfId="0" applyNumberFormat="1" applyFont="1" applyFill="1" applyBorder="1" applyAlignment="1" applyProtection="1">
      <alignment vertical="center"/>
      <protection hidden="1"/>
    </xf>
    <xf numFmtId="166" fontId="2" fillId="10" borderId="19" xfId="0" applyNumberFormat="1" applyFont="1" applyFill="1" applyBorder="1" applyAlignment="1" applyProtection="1">
      <alignment vertical="center"/>
      <protection hidden="1"/>
    </xf>
    <xf numFmtId="165" fontId="2" fillId="10" borderId="19" xfId="0" applyNumberFormat="1" applyFont="1" applyFill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top"/>
      <protection hidden="1"/>
    </xf>
    <xf numFmtId="0" fontId="0" fillId="0" borderId="5" xfId="0" applyBorder="1" applyProtection="1">
      <protection hidden="1"/>
    </xf>
    <xf numFmtId="9" fontId="5" fillId="11" borderId="19" xfId="0" applyNumberFormat="1" applyFont="1" applyFill="1" applyBorder="1" applyAlignment="1" applyProtection="1">
      <alignment horizontal="center" vertical="center" wrapText="1"/>
      <protection hidden="1"/>
    </xf>
    <xf numFmtId="165" fontId="5" fillId="0" borderId="39" xfId="0" applyNumberFormat="1" applyFont="1" applyBorder="1" applyAlignment="1" applyProtection="1">
      <alignment horizontal="center" vertical="center" wrapText="1"/>
      <protection hidden="1"/>
    </xf>
    <xf numFmtId="165" fontId="5" fillId="0" borderId="4" xfId="0" applyNumberFormat="1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34" fillId="11" borderId="59" xfId="0" applyFont="1" applyFill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3" fontId="5" fillId="11" borderId="19" xfId="0" applyNumberFormat="1" applyFont="1" applyFill="1" applyBorder="1" applyAlignment="1" applyProtection="1">
      <alignment horizontal="center" vertical="center" wrapText="1"/>
      <protection hidden="1"/>
    </xf>
    <xf numFmtId="168" fontId="5" fillId="11" borderId="6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7" xfId="0" applyFont="1" applyBorder="1" applyProtection="1">
      <protection hidden="1"/>
    </xf>
    <xf numFmtId="0" fontId="2" fillId="0" borderId="7" xfId="0" applyFont="1" applyBorder="1" applyAlignment="1" applyProtection="1">
      <alignment vertical="center"/>
      <protection hidden="1"/>
    </xf>
    <xf numFmtId="168" fontId="5" fillId="11" borderId="19" xfId="0" applyNumberFormat="1" applyFont="1" applyFill="1" applyBorder="1" applyAlignment="1" applyProtection="1">
      <alignment horizontal="center" vertical="center" wrapText="1"/>
      <protection hidden="1"/>
    </xf>
    <xf numFmtId="0" fontId="16" fillId="5" borderId="5" xfId="0" applyFont="1" applyFill="1" applyBorder="1" applyAlignment="1" applyProtection="1">
      <alignment horizontal="center" vertical="center"/>
      <protection hidden="1"/>
    </xf>
    <xf numFmtId="0" fontId="5" fillId="11" borderId="97" xfId="0" applyFont="1" applyFill="1" applyBorder="1" applyAlignment="1" applyProtection="1">
      <alignment horizontal="center"/>
      <protection hidden="1"/>
    </xf>
    <xf numFmtId="165" fontId="5" fillId="0" borderId="98" xfId="0" applyNumberFormat="1" applyFont="1" applyBorder="1" applyAlignment="1" applyProtection="1">
      <alignment horizontal="center" vertical="center" wrapText="1"/>
      <protection hidden="1"/>
    </xf>
    <xf numFmtId="0" fontId="2" fillId="0" borderId="98" xfId="0" applyFont="1" applyBorder="1" applyAlignment="1" applyProtection="1">
      <alignment horizontal="right" vertical="center" wrapText="1"/>
      <protection hidden="1"/>
    </xf>
    <xf numFmtId="0" fontId="5" fillId="5" borderId="98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top" wrapText="1"/>
      <protection hidden="1"/>
    </xf>
    <xf numFmtId="0" fontId="0" fillId="0" borderId="1" xfId="0" applyBorder="1" applyProtection="1">
      <protection hidden="1"/>
    </xf>
    <xf numFmtId="0" fontId="72" fillId="0" borderId="0" xfId="0" applyFont="1" applyProtection="1">
      <protection locked="0" hidden="1"/>
    </xf>
    <xf numFmtId="0" fontId="2" fillId="0" borderId="34" xfId="0" applyFont="1" applyBorder="1" applyAlignment="1" applyProtection="1">
      <alignment horizontal="center" vertical="top" wrapText="1"/>
      <protection hidden="1"/>
    </xf>
    <xf numFmtId="0" fontId="2" fillId="0" borderId="3" xfId="0" applyFont="1" applyBorder="1" applyAlignment="1" applyProtection="1">
      <alignment horizontal="center" vertical="top" wrapText="1"/>
      <protection hidden="1"/>
    </xf>
    <xf numFmtId="0" fontId="68" fillId="0" borderId="52" xfId="0" applyFont="1" applyBorder="1" applyAlignment="1" applyProtection="1">
      <alignment horizontal="right" vertical="center" wrapText="1"/>
      <protection hidden="1"/>
    </xf>
    <xf numFmtId="0" fontId="72" fillId="0" borderId="0" xfId="0" applyFont="1" applyAlignment="1" applyProtection="1">
      <alignment horizontal="left" vertical="center"/>
      <protection locked="0" hidden="1"/>
    </xf>
    <xf numFmtId="0" fontId="5" fillId="0" borderId="27" xfId="0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13" fillId="0" borderId="34" xfId="0" applyFont="1" applyBorder="1" applyAlignment="1" applyProtection="1">
      <alignment horizontal="center" wrapText="1"/>
      <protection hidden="1"/>
    </xf>
    <xf numFmtId="0" fontId="14" fillId="0" borderId="3" xfId="0" applyFont="1" applyBorder="1" applyAlignment="1" applyProtection="1">
      <alignment vertical="top"/>
      <protection hidden="1"/>
    </xf>
    <xf numFmtId="0" fontId="5" fillId="0" borderId="45" xfId="0" applyFont="1" applyBorder="1" applyProtection="1">
      <protection hidden="1"/>
    </xf>
    <xf numFmtId="0" fontId="0" fillId="0" borderId="45" xfId="0" applyBorder="1" applyProtection="1">
      <protection hidden="1"/>
    </xf>
    <xf numFmtId="0" fontId="11" fillId="0" borderId="23" xfId="0" applyFont="1" applyBorder="1" applyAlignment="1" applyProtection="1">
      <alignment horizontal="left" vertical="center"/>
      <protection hidden="1"/>
    </xf>
    <xf numFmtId="0" fontId="0" fillId="0" borderId="86" xfId="0" applyBorder="1" applyProtection="1">
      <protection hidden="1"/>
    </xf>
    <xf numFmtId="0" fontId="5" fillId="0" borderId="100" xfId="0" applyFont="1" applyBorder="1" applyAlignment="1" applyProtection="1">
      <alignment horizontal="left" vertical="center"/>
      <protection hidden="1"/>
    </xf>
    <xf numFmtId="0" fontId="5" fillId="0" borderId="86" xfId="0" applyFont="1" applyBorder="1" applyProtection="1">
      <protection hidden="1"/>
    </xf>
    <xf numFmtId="0" fontId="9" fillId="11" borderId="13" xfId="0" applyFont="1" applyFill="1" applyBorder="1" applyAlignment="1" applyProtection="1">
      <alignment horizontal="center" vertical="center"/>
      <protection hidden="1"/>
    </xf>
    <xf numFmtId="0" fontId="5" fillId="11" borderId="13" xfId="0" applyFont="1" applyFill="1" applyBorder="1" applyAlignment="1" applyProtection="1">
      <alignment vertical="center"/>
      <protection hidden="1"/>
    </xf>
    <xf numFmtId="0" fontId="9" fillId="11" borderId="101" xfId="0" applyFont="1" applyFill="1" applyBorder="1" applyAlignment="1" applyProtection="1">
      <alignment horizontal="center" vertical="center"/>
      <protection hidden="1"/>
    </xf>
    <xf numFmtId="0" fontId="5" fillId="11" borderId="13" xfId="0" applyFont="1" applyFill="1" applyBorder="1" applyAlignment="1" applyProtection="1">
      <alignment horizontal="center" vertical="center"/>
      <protection hidden="1"/>
    </xf>
    <xf numFmtId="0" fontId="5" fillId="11" borderId="39" xfId="0" applyFont="1" applyFill="1" applyBorder="1" applyAlignment="1" applyProtection="1">
      <alignment horizontal="center" vertical="center"/>
      <protection hidden="1"/>
    </xf>
    <xf numFmtId="0" fontId="9" fillId="11" borderId="52" xfId="0" applyFont="1" applyFill="1" applyBorder="1" applyAlignment="1" applyProtection="1">
      <alignment horizontal="center" vertical="center" wrapText="1"/>
      <protection hidden="1"/>
    </xf>
    <xf numFmtId="0" fontId="5" fillId="11" borderId="52" xfId="0" applyFont="1" applyFill="1" applyBorder="1" applyAlignment="1" applyProtection="1">
      <alignment horizontal="center" vertical="center" wrapText="1"/>
      <protection hidden="1"/>
    </xf>
    <xf numFmtId="0" fontId="5" fillId="11" borderId="52" xfId="0" applyFont="1" applyFill="1" applyBorder="1" applyAlignment="1" applyProtection="1">
      <alignment horizontal="center" vertical="center"/>
      <protection hidden="1"/>
    </xf>
    <xf numFmtId="0" fontId="9" fillId="11" borderId="52" xfId="0" applyFont="1" applyFill="1" applyBorder="1" applyAlignment="1" applyProtection="1">
      <alignment horizontal="center" vertical="center"/>
      <protection hidden="1"/>
    </xf>
    <xf numFmtId="0" fontId="9" fillId="11" borderId="70" xfId="0" applyFont="1" applyFill="1" applyBorder="1" applyAlignment="1" applyProtection="1">
      <alignment horizontal="center" vertical="center"/>
      <protection hidden="1"/>
    </xf>
    <xf numFmtId="0" fontId="0" fillId="0" borderId="102" xfId="0" applyBorder="1" applyProtection="1">
      <protection hidden="1"/>
    </xf>
    <xf numFmtId="0" fontId="0" fillId="0" borderId="103" xfId="0" applyBorder="1" applyProtection="1">
      <protection hidden="1"/>
    </xf>
    <xf numFmtId="0" fontId="5" fillId="0" borderId="86" xfId="0" applyFont="1" applyBorder="1" applyAlignment="1" applyProtection="1">
      <alignment horizontal="left" vertical="center"/>
      <protection hidden="1"/>
    </xf>
    <xf numFmtId="0" fontId="0" fillId="0" borderId="104" xfId="0" applyBorder="1" applyAlignment="1" applyProtection="1">
      <alignment horizontal="left" vertical="center"/>
      <protection hidden="1"/>
    </xf>
    <xf numFmtId="0" fontId="0" fillId="0" borderId="105" xfId="0" applyBorder="1" applyProtection="1">
      <protection hidden="1"/>
    </xf>
    <xf numFmtId="0" fontId="9" fillId="0" borderId="86" xfId="0" applyFont="1" applyBorder="1" applyAlignment="1" applyProtection="1">
      <alignment horizontal="left" vertical="center"/>
      <protection hidden="1"/>
    </xf>
    <xf numFmtId="0" fontId="5" fillId="0" borderId="39" xfId="0" applyFont="1" applyBorder="1" applyAlignment="1" applyProtection="1">
      <alignment horizontal="right" vertical="center"/>
      <protection hidden="1"/>
    </xf>
    <xf numFmtId="0" fontId="5" fillId="0" borderId="103" xfId="0" applyFont="1" applyBorder="1" applyAlignment="1" applyProtection="1">
      <alignment horizontal="right" vertical="center"/>
      <protection hidden="1"/>
    </xf>
    <xf numFmtId="0" fontId="0" fillId="0" borderId="103" xfId="0" applyBorder="1" applyAlignment="1" applyProtection="1">
      <alignment vertical="center"/>
      <protection hidden="1"/>
    </xf>
    <xf numFmtId="0" fontId="0" fillId="0" borderId="104" xfId="0" applyBorder="1" applyAlignment="1" applyProtection="1">
      <alignment vertical="center"/>
      <protection hidden="1"/>
    </xf>
    <xf numFmtId="0" fontId="72" fillId="0" borderId="19" xfId="0" applyFont="1" applyBorder="1" applyAlignment="1" applyProtection="1">
      <alignment horizontal="center" vertical="center"/>
      <protection locked="0" hidden="1"/>
    </xf>
    <xf numFmtId="2" fontId="13" fillId="12" borderId="19" xfId="0" applyNumberFormat="1" applyFont="1" applyFill="1" applyBorder="1" applyAlignment="1" applyProtection="1">
      <alignment vertical="center"/>
      <protection hidden="1"/>
    </xf>
    <xf numFmtId="0" fontId="13" fillId="12" borderId="6" xfId="0" applyFont="1" applyFill="1" applyBorder="1" applyAlignment="1" applyProtection="1">
      <alignment vertical="center"/>
      <protection hidden="1"/>
    </xf>
    <xf numFmtId="0" fontId="14" fillId="12" borderId="24" xfId="0" applyFont="1" applyFill="1" applyBorder="1" applyAlignment="1" applyProtection="1">
      <alignment vertical="center"/>
      <protection hidden="1"/>
    </xf>
    <xf numFmtId="0" fontId="14" fillId="12" borderId="13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6" fillId="0" borderId="19" xfId="0" applyFont="1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5" fillId="0" borderId="34" xfId="0" applyFont="1" applyBorder="1" applyAlignment="1" applyProtection="1">
      <alignment horizontal="left" vertical="center"/>
      <protection hidden="1"/>
    </xf>
    <xf numFmtId="0" fontId="0" fillId="0" borderId="100" xfId="0" applyBorder="1" applyAlignment="1" applyProtection="1">
      <alignment vertical="center"/>
      <protection hidden="1"/>
    </xf>
    <xf numFmtId="0" fontId="2" fillId="0" borderId="86" xfId="0" applyFont="1" applyBorder="1" applyAlignment="1" applyProtection="1">
      <alignment horizontal="center" vertical="top" wrapText="1"/>
      <protection hidden="1"/>
    </xf>
    <xf numFmtId="0" fontId="5" fillId="0" borderId="100" xfId="0" applyFont="1" applyBorder="1" applyAlignment="1" applyProtection="1">
      <alignment vertical="center"/>
      <protection hidden="1"/>
    </xf>
    <xf numFmtId="0" fontId="0" fillId="0" borderId="100" xfId="0" applyBorder="1" applyProtection="1">
      <protection hidden="1"/>
    </xf>
    <xf numFmtId="0" fontId="5" fillId="11" borderId="106" xfId="0" applyFont="1" applyFill="1" applyBorder="1" applyAlignment="1" applyProtection="1">
      <alignment horizontal="center" vertical="center"/>
      <protection hidden="1"/>
    </xf>
    <xf numFmtId="0" fontId="5" fillId="0" borderId="23" xfId="0" applyFont="1" applyBorder="1" applyAlignment="1" applyProtection="1">
      <alignment horizontal="right" vertical="center"/>
      <protection hidden="1"/>
    </xf>
    <xf numFmtId="0" fontId="71" fillId="0" borderId="3" xfId="0" applyFont="1" applyBorder="1" applyAlignment="1" applyProtection="1">
      <alignment horizontal="left" vertical="center"/>
      <protection hidden="1"/>
    </xf>
    <xf numFmtId="0" fontId="0" fillId="0" borderId="107" xfId="0" applyBorder="1" applyProtection="1">
      <protection hidden="1"/>
    </xf>
    <xf numFmtId="0" fontId="5" fillId="0" borderId="105" xfId="0" applyFont="1" applyBorder="1" applyAlignment="1" applyProtection="1">
      <alignment horizontal="left" vertical="center"/>
      <protection hidden="1"/>
    </xf>
    <xf numFmtId="2" fontId="2" fillId="0" borderId="105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left" vertical="center"/>
      <protection hidden="1"/>
    </xf>
    <xf numFmtId="0" fontId="23" fillId="5" borderId="7" xfId="0" applyFont="1" applyFill="1" applyBorder="1" applyAlignment="1" applyProtection="1">
      <alignment horizontal="left" vertical="center"/>
      <protection hidden="1"/>
    </xf>
    <xf numFmtId="0" fontId="5" fillId="0" borderId="24" xfId="0" applyFont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31" fillId="0" borderId="0" xfId="0" applyFont="1" applyAlignment="1" applyProtection="1">
      <alignment horizontal="left" vertical="center"/>
      <protection hidden="1"/>
    </xf>
    <xf numFmtId="1" fontId="5" fillId="11" borderId="5" xfId="0" applyNumberFormat="1" applyFont="1" applyFill="1" applyBorder="1" applyAlignment="1" applyProtection="1">
      <alignment horizontal="center" vertical="center" wrapText="1"/>
      <protection hidden="1"/>
    </xf>
    <xf numFmtId="0" fontId="5" fillId="11" borderId="36" xfId="0" applyFont="1" applyFill="1" applyBorder="1" applyAlignment="1" applyProtection="1">
      <alignment horizontal="center" vertical="center"/>
      <protection hidden="1"/>
    </xf>
    <xf numFmtId="0" fontId="5" fillId="11" borderId="3" xfId="0" applyFont="1" applyFill="1" applyBorder="1" applyAlignment="1" applyProtection="1">
      <alignment horizontal="center" vertical="center"/>
      <protection hidden="1"/>
    </xf>
    <xf numFmtId="0" fontId="5" fillId="11" borderId="44" xfId="0" applyFont="1" applyFill="1" applyBorder="1" applyAlignment="1" applyProtection="1">
      <alignment horizontal="center" vertical="center"/>
      <protection hidden="1"/>
    </xf>
    <xf numFmtId="49" fontId="5" fillId="11" borderId="81" xfId="0" applyNumberFormat="1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9" fillId="11" borderId="14" xfId="0" applyFont="1" applyFill="1" applyBorder="1" applyAlignment="1" applyProtection="1">
      <alignment horizontal="center" vertic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1" fontId="5" fillId="11" borderId="59" xfId="0" applyNumberFormat="1" applyFont="1" applyFill="1" applyBorder="1" applyAlignment="1" applyProtection="1">
      <alignment horizontal="center" vertical="center"/>
      <protection hidden="1"/>
    </xf>
    <xf numFmtId="1" fontId="5" fillId="11" borderId="62" xfId="0" applyNumberFormat="1" applyFont="1" applyFill="1" applyBorder="1" applyAlignment="1" applyProtection="1">
      <alignment horizontal="center" vertical="center"/>
      <protection hidden="1"/>
    </xf>
    <xf numFmtId="0" fontId="5" fillId="11" borderId="51" xfId="0" applyFont="1" applyFill="1" applyBorder="1" applyAlignment="1" applyProtection="1">
      <alignment horizontal="center" vertical="center"/>
      <protection hidden="1"/>
    </xf>
    <xf numFmtId="0" fontId="5" fillId="11" borderId="42" xfId="0" applyFont="1" applyFill="1" applyBorder="1" applyAlignment="1" applyProtection="1">
      <alignment horizontal="center" vertical="center"/>
      <protection hidden="1"/>
    </xf>
    <xf numFmtId="0" fontId="5" fillId="11" borderId="79" xfId="0" applyFont="1" applyFill="1" applyBorder="1" applyAlignment="1" applyProtection="1">
      <alignment horizontal="center" vertical="center" wrapText="1"/>
      <protection hidden="1"/>
    </xf>
    <xf numFmtId="0" fontId="5" fillId="11" borderId="40" xfId="0" applyFont="1" applyFill="1" applyBorder="1" applyAlignment="1" applyProtection="1">
      <alignment horizontal="center" vertical="center" wrapText="1"/>
      <protection hidden="1"/>
    </xf>
    <xf numFmtId="0" fontId="5" fillId="11" borderId="37" xfId="0" applyFont="1" applyFill="1" applyBorder="1" applyAlignment="1" applyProtection="1">
      <alignment horizontal="center" vertical="center" wrapText="1"/>
      <protection hidden="1"/>
    </xf>
    <xf numFmtId="0" fontId="5" fillId="11" borderId="45" xfId="0" applyFont="1" applyFill="1" applyBorder="1" applyAlignment="1" applyProtection="1">
      <alignment horizontal="center" vertical="center"/>
      <protection hidden="1"/>
    </xf>
    <xf numFmtId="0" fontId="9" fillId="11" borderId="36" xfId="0" applyFont="1" applyFill="1" applyBorder="1" applyAlignment="1" applyProtection="1">
      <alignment horizontal="center" vertical="center"/>
      <protection hidden="1"/>
    </xf>
    <xf numFmtId="0" fontId="9" fillId="11" borderId="42" xfId="0" applyFont="1" applyFill="1" applyBorder="1" applyAlignment="1" applyProtection="1">
      <alignment horizontal="center" vertical="center"/>
      <protection hidden="1"/>
    </xf>
    <xf numFmtId="0" fontId="9" fillId="11" borderId="61" xfId="0" applyFont="1" applyFill="1" applyBorder="1" applyAlignment="1" applyProtection="1">
      <alignment horizontal="right" vertical="center"/>
      <protection hidden="1"/>
    </xf>
    <xf numFmtId="1" fontId="5" fillId="11" borderId="40" xfId="0" applyNumberFormat="1" applyFont="1" applyFill="1" applyBorder="1" applyAlignment="1" applyProtection="1">
      <alignment horizontal="left" vertical="center"/>
      <protection hidden="1"/>
    </xf>
    <xf numFmtId="0" fontId="9" fillId="11" borderId="44" xfId="0" applyFont="1" applyFill="1" applyBorder="1" applyAlignment="1" applyProtection="1">
      <alignment horizontal="center" vertical="center"/>
      <protection hidden="1"/>
    </xf>
    <xf numFmtId="0" fontId="9" fillId="11" borderId="41" xfId="0" applyFont="1" applyFill="1" applyBorder="1" applyAlignment="1" applyProtection="1">
      <alignment horizontal="center" vertical="center"/>
      <protection hidden="1"/>
    </xf>
    <xf numFmtId="0" fontId="9" fillId="11" borderId="106" xfId="0" applyFont="1" applyFill="1" applyBorder="1" applyAlignment="1" applyProtection="1">
      <alignment horizontal="right" vertical="center"/>
      <protection hidden="1"/>
    </xf>
    <xf numFmtId="0" fontId="9" fillId="11" borderId="48" xfId="0" applyFont="1" applyFill="1" applyBorder="1" applyAlignment="1" applyProtection="1">
      <alignment horizontal="center" vertical="center"/>
      <protection hidden="1"/>
    </xf>
    <xf numFmtId="0" fontId="9" fillId="11" borderId="108" xfId="0" applyFont="1" applyFill="1" applyBorder="1" applyAlignment="1" applyProtection="1">
      <alignment horizontal="center" vertical="center"/>
      <protection hidden="1"/>
    </xf>
    <xf numFmtId="0" fontId="5" fillId="11" borderId="108" xfId="0" applyFont="1" applyFill="1" applyBorder="1" applyAlignment="1" applyProtection="1">
      <alignment horizontal="center" vertical="center"/>
      <protection hidden="1"/>
    </xf>
    <xf numFmtId="0" fontId="5" fillId="11" borderId="4" xfId="0" applyFont="1" applyFill="1" applyBorder="1" applyAlignment="1" applyProtection="1">
      <alignment horizontal="center" vertical="center"/>
      <protection hidden="1"/>
    </xf>
    <xf numFmtId="0" fontId="5" fillId="11" borderId="14" xfId="0" applyFont="1" applyFill="1" applyBorder="1" applyAlignment="1" applyProtection="1">
      <alignment horizontal="center" vertical="center"/>
      <protection hidden="1"/>
    </xf>
    <xf numFmtId="0" fontId="9" fillId="11" borderId="109" xfId="0" applyFont="1" applyFill="1" applyBorder="1" applyAlignment="1" applyProtection="1">
      <alignment horizontal="center" vertical="center"/>
      <protection hidden="1"/>
    </xf>
    <xf numFmtId="0" fontId="5" fillId="11" borderId="53" xfId="0" applyFont="1" applyFill="1" applyBorder="1" applyAlignment="1" applyProtection="1">
      <alignment horizontal="center" vertical="center"/>
      <protection hidden="1"/>
    </xf>
    <xf numFmtId="0" fontId="5" fillId="11" borderId="110" xfId="0" applyFont="1" applyFill="1" applyBorder="1" applyAlignment="1" applyProtection="1">
      <alignment horizontal="center" vertical="center"/>
      <protection hidden="1"/>
    </xf>
    <xf numFmtId="0" fontId="5" fillId="11" borderId="101" xfId="0" applyFont="1" applyFill="1" applyBorder="1" applyAlignment="1" applyProtection="1">
      <alignment horizontal="center" vertical="center"/>
      <protection hidden="1"/>
    </xf>
    <xf numFmtId="0" fontId="5" fillId="11" borderId="48" xfId="0" applyFont="1" applyFill="1" applyBorder="1" applyAlignment="1" applyProtection="1">
      <alignment horizontal="center" vertical="center"/>
      <protection hidden="1"/>
    </xf>
    <xf numFmtId="0" fontId="5" fillId="11" borderId="1" xfId="0" applyFont="1" applyFill="1" applyBorder="1" applyAlignment="1" applyProtection="1">
      <alignment horizontal="center" vertical="center"/>
      <protection hidden="1"/>
    </xf>
    <xf numFmtId="1" fontId="65" fillId="11" borderId="63" xfId="0" applyNumberFormat="1" applyFont="1" applyFill="1" applyBorder="1" applyAlignment="1" applyProtection="1">
      <alignment horizontal="center" vertical="center"/>
      <protection hidden="1"/>
    </xf>
    <xf numFmtId="0" fontId="5" fillId="0" borderId="40" xfId="0" applyFont="1" applyBorder="1"/>
    <xf numFmtId="0" fontId="5" fillId="0" borderId="61" xfId="0" applyFont="1" applyBorder="1"/>
    <xf numFmtId="0" fontId="5" fillId="11" borderId="62" xfId="0" applyFont="1" applyFill="1" applyBorder="1" applyAlignment="1" applyProtection="1">
      <alignment horizontal="center" vertical="center"/>
      <protection hidden="1"/>
    </xf>
    <xf numFmtId="0" fontId="9" fillId="11" borderId="79" xfId="0" applyFont="1" applyFill="1" applyBorder="1" applyAlignment="1" applyProtection="1">
      <alignment horizontal="center" vertical="center"/>
      <protection hidden="1"/>
    </xf>
    <xf numFmtId="0" fontId="9" fillId="11" borderId="111" xfId="0" applyFont="1" applyFill="1" applyBorder="1" applyAlignment="1" applyProtection="1">
      <alignment horizontal="center" vertical="center"/>
      <protection hidden="1"/>
    </xf>
    <xf numFmtId="165" fontId="5" fillId="11" borderId="40" xfId="0" applyNumberFormat="1" applyFont="1" applyFill="1" applyBorder="1" applyAlignment="1" applyProtection="1">
      <alignment horizontal="left" vertical="center"/>
      <protection hidden="1"/>
    </xf>
    <xf numFmtId="0" fontId="9" fillId="11" borderId="112" xfId="0" applyFont="1" applyFill="1" applyBorder="1" applyAlignment="1" applyProtection="1">
      <alignment horizontal="center" vertical="center"/>
      <protection hidden="1"/>
    </xf>
    <xf numFmtId="1" fontId="65" fillId="11" borderId="101" xfId="0" applyNumberFormat="1" applyFont="1" applyFill="1" applyBorder="1" applyAlignment="1" applyProtection="1">
      <alignment horizontal="center" vertical="center"/>
      <protection hidden="1"/>
    </xf>
    <xf numFmtId="0" fontId="9" fillId="11" borderId="67" xfId="0" applyFont="1" applyFill="1" applyBorder="1" applyAlignment="1" applyProtection="1">
      <alignment horizontal="left" vertical="center"/>
      <protection hidden="1"/>
    </xf>
    <xf numFmtId="0" fontId="5" fillId="11" borderId="6" xfId="0" applyFont="1" applyFill="1" applyBorder="1" applyAlignment="1" applyProtection="1">
      <alignment horizontal="center" vertical="center" wrapText="1"/>
      <protection hidden="1"/>
    </xf>
    <xf numFmtId="0" fontId="5" fillId="11" borderId="34" xfId="0" applyFont="1" applyFill="1" applyBorder="1" applyAlignment="1" applyProtection="1">
      <alignment horizontal="center" vertical="center" wrapText="1"/>
      <protection hidden="1"/>
    </xf>
    <xf numFmtId="0" fontId="16" fillId="5" borderId="0" xfId="0" applyFont="1" applyFill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horizontal="left" vertical="center"/>
      <protection hidden="1"/>
    </xf>
    <xf numFmtId="1" fontId="5" fillId="11" borderId="61" xfId="0" applyNumberFormat="1" applyFont="1" applyFill="1" applyBorder="1" applyAlignment="1" applyProtection="1">
      <alignment horizontal="left" vertical="center"/>
      <protection hidden="1"/>
    </xf>
    <xf numFmtId="1" fontId="5" fillId="11" borderId="60" xfId="0" applyNumberFormat="1" applyFont="1" applyFill="1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2" fontId="20" fillId="0" borderId="3" xfId="0" applyNumberFormat="1" applyFont="1" applyBorder="1" applyProtection="1">
      <protection hidden="1"/>
    </xf>
    <xf numFmtId="165" fontId="0" fillId="0" borderId="45" xfId="0" applyNumberFormat="1" applyBorder="1" applyProtection="1">
      <protection hidden="1"/>
    </xf>
    <xf numFmtId="165" fontId="5" fillId="0" borderId="45" xfId="0" applyNumberFormat="1" applyFont="1" applyBorder="1" applyProtection="1">
      <protection hidden="1"/>
    </xf>
    <xf numFmtId="165" fontId="20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23" xfId="0" applyFont="1" applyBorder="1" applyAlignment="1" applyProtection="1">
      <alignment horizontal="left" vertical="center"/>
      <protection hidden="1"/>
    </xf>
    <xf numFmtId="2" fontId="5" fillId="0" borderId="34" xfId="0" applyNumberFormat="1" applyFont="1" applyBorder="1" applyAlignment="1" applyProtection="1">
      <alignment horizontal="center" vertical="center" wrapText="1"/>
      <protection hidden="1"/>
    </xf>
    <xf numFmtId="0" fontId="5" fillId="11" borderId="109" xfId="0" applyFont="1" applyFill="1" applyBorder="1" applyAlignment="1" applyProtection="1">
      <alignment horizontal="center" vertical="center"/>
      <protection hidden="1"/>
    </xf>
    <xf numFmtId="0" fontId="5" fillId="11" borderId="113" xfId="0" applyFont="1" applyFill="1" applyBorder="1" applyAlignment="1" applyProtection="1">
      <alignment horizontal="center" wrapText="1"/>
      <protection hidden="1"/>
    </xf>
    <xf numFmtId="0" fontId="14" fillId="2" borderId="7" xfId="0" applyFont="1" applyFill="1" applyBorder="1" applyAlignment="1" applyProtection="1">
      <alignment horizontal="left" vertical="center"/>
      <protection hidden="1"/>
    </xf>
    <xf numFmtId="2" fontId="5" fillId="0" borderId="3" xfId="0" applyNumberFormat="1" applyFont="1" applyBorder="1" applyAlignment="1" applyProtection="1">
      <alignment horizontal="center" vertical="center" wrapText="1"/>
      <protection hidden="1"/>
    </xf>
    <xf numFmtId="0" fontId="11" fillId="0" borderId="23" xfId="0" applyFont="1" applyBorder="1" applyAlignment="1" applyProtection="1">
      <alignment horizontal="right" vertical="center"/>
      <protection hidden="1"/>
    </xf>
    <xf numFmtId="0" fontId="5" fillId="0" borderId="2" xfId="0" applyFont="1" applyBorder="1" applyProtection="1">
      <protection hidden="1"/>
    </xf>
    <xf numFmtId="0" fontId="7" fillId="0" borderId="1" xfId="0" applyFont="1" applyBorder="1" applyProtection="1">
      <protection hidden="1"/>
    </xf>
    <xf numFmtId="2" fontId="2" fillId="0" borderId="114" xfId="0" applyNumberFormat="1" applyFont="1" applyBorder="1" applyAlignment="1" applyProtection="1">
      <alignment horizontal="center" vertical="center" wrapText="1"/>
      <protection hidden="1"/>
    </xf>
    <xf numFmtId="0" fontId="5" fillId="11" borderId="26" xfId="0" applyFont="1" applyFill="1" applyBorder="1" applyAlignment="1" applyProtection="1">
      <alignment horizontal="center" vertical="center"/>
      <protection hidden="1"/>
    </xf>
    <xf numFmtId="0" fontId="22" fillId="2" borderId="0" xfId="0" applyFont="1" applyFill="1" applyAlignment="1" applyProtection="1">
      <alignment horizontal="left"/>
      <protection hidden="1"/>
    </xf>
    <xf numFmtId="0" fontId="23" fillId="2" borderId="0" xfId="0" applyFont="1" applyFill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2" fontId="2" fillId="0" borderId="115" xfId="0" applyNumberFormat="1" applyFont="1" applyBorder="1" applyAlignment="1" applyProtection="1">
      <alignment horizontal="center" vertical="center" wrapText="1"/>
      <protection hidden="1"/>
    </xf>
    <xf numFmtId="0" fontId="3" fillId="0" borderId="68" xfId="0" applyFont="1" applyBorder="1" applyAlignment="1" applyProtection="1">
      <alignment vertical="center"/>
      <protection hidden="1"/>
    </xf>
    <xf numFmtId="0" fontId="3" fillId="0" borderId="116" xfId="0" applyFont="1" applyBorder="1" applyAlignment="1" applyProtection="1">
      <alignment vertical="center"/>
      <protection hidden="1"/>
    </xf>
    <xf numFmtId="0" fontId="3" fillId="0" borderId="69" xfId="0" applyFont="1" applyBorder="1" applyAlignment="1" applyProtection="1">
      <alignment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7" xfId="0" applyFont="1" applyBorder="1" applyAlignment="1" applyProtection="1">
      <alignment vertical="center"/>
      <protection hidden="1"/>
    </xf>
    <xf numFmtId="0" fontId="3" fillId="0" borderId="4" xfId="0" applyFont="1" applyBorder="1" applyAlignment="1" applyProtection="1">
      <alignment vertical="center"/>
      <protection hidden="1"/>
    </xf>
    <xf numFmtId="0" fontId="3" fillId="0" borderId="115" xfId="0" applyFont="1" applyBorder="1" applyAlignment="1" applyProtection="1">
      <alignment vertical="center"/>
      <protection hidden="1"/>
    </xf>
    <xf numFmtId="0" fontId="3" fillId="0" borderId="95" xfId="0" applyFont="1" applyBorder="1" applyAlignment="1" applyProtection="1">
      <alignment vertical="center"/>
      <protection hidden="1"/>
    </xf>
    <xf numFmtId="0" fontId="3" fillId="0" borderId="94" xfId="0" applyFont="1" applyBorder="1" applyAlignment="1" applyProtection="1">
      <alignment vertical="center"/>
      <protection hidden="1"/>
    </xf>
    <xf numFmtId="0" fontId="5" fillId="0" borderId="117" xfId="0" applyFont="1" applyBorder="1" applyProtection="1">
      <protection hidden="1"/>
    </xf>
    <xf numFmtId="2" fontId="5" fillId="0" borderId="19" xfId="0" applyNumberFormat="1" applyFont="1" applyBorder="1" applyAlignment="1" applyProtection="1">
      <alignment horizontal="center" vertical="center" wrapText="1"/>
      <protection locked="0"/>
    </xf>
    <xf numFmtId="3" fontId="2" fillId="11" borderId="19" xfId="0" applyNumberFormat="1" applyFont="1" applyFill="1" applyBorder="1" applyAlignment="1" applyProtection="1">
      <alignment horizontal="center" vertical="center" wrapText="1"/>
      <protection hidden="1"/>
    </xf>
    <xf numFmtId="4" fontId="2" fillId="11" borderId="19" xfId="0" applyNumberFormat="1" applyFont="1" applyFill="1" applyBorder="1" applyAlignment="1" applyProtection="1">
      <alignment horizontal="center" vertical="center" wrapText="1"/>
      <protection hidden="1"/>
    </xf>
    <xf numFmtId="9" fontId="2" fillId="11" borderId="19" xfId="7" applyFont="1" applyFill="1" applyBorder="1" applyAlignment="1" applyProtection="1">
      <alignment horizontal="center" vertical="center"/>
      <protection hidden="1"/>
    </xf>
    <xf numFmtId="2" fontId="2" fillId="11" borderId="19" xfId="0" applyNumberFormat="1" applyFont="1" applyFill="1" applyBorder="1" applyAlignment="1" applyProtection="1">
      <alignment horizontal="center" vertical="center" wrapText="1"/>
      <protection hidden="1"/>
    </xf>
    <xf numFmtId="0" fontId="3" fillId="11" borderId="101" xfId="0" applyFont="1" applyFill="1" applyBorder="1" applyAlignment="1" applyProtection="1">
      <alignment horizontal="center" vertical="center"/>
      <protection hidden="1"/>
    </xf>
    <xf numFmtId="0" fontId="3" fillId="11" borderId="13" xfId="0" applyFont="1" applyFill="1" applyBorder="1" applyAlignment="1" applyProtection="1">
      <alignment horizontal="left" vertical="center"/>
      <protection hidden="1"/>
    </xf>
    <xf numFmtId="165" fontId="5" fillId="11" borderId="5" xfId="0" applyNumberFormat="1" applyFont="1" applyFill="1" applyBorder="1" applyAlignment="1" applyProtection="1">
      <alignment horizontal="center" vertical="center" wrapText="1"/>
      <protection hidden="1"/>
    </xf>
    <xf numFmtId="1" fontId="5" fillId="11" borderId="19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16" xfId="0" applyBorder="1" applyProtection="1">
      <protection hidden="1"/>
    </xf>
    <xf numFmtId="0" fontId="0" fillId="0" borderId="118" xfId="0" applyBorder="1" applyProtection="1">
      <protection hidden="1"/>
    </xf>
    <xf numFmtId="0" fontId="0" fillId="0" borderId="119" xfId="0" applyBorder="1" applyProtection="1">
      <protection hidden="1"/>
    </xf>
    <xf numFmtId="0" fontId="0" fillId="0" borderId="120" xfId="0" applyBorder="1" applyProtection="1">
      <protection hidden="1"/>
    </xf>
    <xf numFmtId="0" fontId="5" fillId="11" borderId="118" xfId="0" applyFont="1" applyFill="1" applyBorder="1" applyAlignment="1" applyProtection="1">
      <alignment horizontal="center"/>
      <protection hidden="1"/>
    </xf>
    <xf numFmtId="0" fontId="0" fillId="0" borderId="98" xfId="0" applyBorder="1" applyProtection="1">
      <protection hidden="1"/>
    </xf>
    <xf numFmtId="0" fontId="0" fillId="0" borderId="95" xfId="0" applyBorder="1" applyProtection="1">
      <protection hidden="1"/>
    </xf>
    <xf numFmtId="0" fontId="71" fillId="0" borderId="21" xfId="0" applyFont="1" applyBorder="1" applyAlignment="1" applyProtection="1">
      <alignment horizontal="left" vertical="center"/>
      <protection hidden="1"/>
    </xf>
    <xf numFmtId="0" fontId="24" fillId="5" borderId="0" xfId="0" applyFont="1" applyFill="1" applyAlignment="1" applyProtection="1">
      <alignment horizontal="right" vertical="center"/>
      <protection hidden="1"/>
    </xf>
    <xf numFmtId="0" fontId="0" fillId="5" borderId="1" xfId="0" applyFill="1" applyBorder="1" applyProtection="1">
      <protection hidden="1"/>
    </xf>
    <xf numFmtId="0" fontId="13" fillId="5" borderId="34" xfId="0" applyFont="1" applyFill="1" applyBorder="1" applyAlignment="1" applyProtection="1">
      <alignment horizontal="center" vertical="top" wrapText="1"/>
      <protection hidden="1"/>
    </xf>
    <xf numFmtId="0" fontId="13" fillId="5" borderId="3" xfId="0" applyFont="1" applyFill="1" applyBorder="1" applyAlignment="1" applyProtection="1">
      <alignment horizontal="center" vertical="top" wrapText="1"/>
      <protection hidden="1"/>
    </xf>
    <xf numFmtId="0" fontId="24" fillId="5" borderId="2" xfId="0" applyFont="1" applyFill="1" applyBorder="1" applyAlignment="1" applyProtection="1">
      <alignment vertical="center"/>
      <protection hidden="1"/>
    </xf>
    <xf numFmtId="0" fontId="18" fillId="5" borderId="23" xfId="0" applyFont="1" applyFill="1" applyBorder="1" applyAlignment="1" applyProtection="1">
      <alignment horizontal="right" vertical="center"/>
      <protection hidden="1"/>
    </xf>
    <xf numFmtId="0" fontId="18" fillId="5" borderId="23" xfId="0" applyFont="1" applyFill="1" applyBorder="1" applyAlignment="1" applyProtection="1">
      <alignment horizontal="left" vertical="center"/>
      <protection hidden="1"/>
    </xf>
    <xf numFmtId="0" fontId="18" fillId="5" borderId="0" xfId="0" applyFont="1" applyFill="1" applyAlignment="1" applyProtection="1">
      <alignment horizontal="right" vertical="center"/>
      <protection hidden="1"/>
    </xf>
    <xf numFmtId="0" fontId="18" fillId="5" borderId="0" xfId="0" applyFont="1" applyFill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2" fontId="5" fillId="0" borderId="100" xfId="0" applyNumberFormat="1" applyFont="1" applyBorder="1" applyAlignment="1" applyProtection="1">
      <alignment horizontal="left" vertical="center"/>
      <protection hidden="1"/>
    </xf>
    <xf numFmtId="0" fontId="7" fillId="5" borderId="86" xfId="0" applyFont="1" applyFill="1" applyBorder="1" applyAlignment="1" applyProtection="1">
      <alignment horizontal="right"/>
      <protection hidden="1"/>
    </xf>
    <xf numFmtId="0" fontId="7" fillId="5" borderId="86" xfId="0" applyFont="1" applyFill="1" applyBorder="1" applyAlignment="1" applyProtection="1">
      <alignment horizontal="right" vertical="center"/>
      <protection hidden="1"/>
    </xf>
    <xf numFmtId="2" fontId="5" fillId="0" borderId="122" xfId="0" applyNumberFormat="1" applyFont="1" applyBorder="1" applyAlignment="1" applyProtection="1">
      <alignment horizontal="left" vertical="center"/>
      <protection hidden="1"/>
    </xf>
    <xf numFmtId="0" fontId="0" fillId="0" borderId="23" xfId="0" applyBorder="1" applyProtection="1">
      <protection hidden="1"/>
    </xf>
    <xf numFmtId="0" fontId="5" fillId="0" borderId="123" xfId="0" applyFont="1" applyBorder="1" applyAlignment="1" applyProtection="1">
      <alignment horizontal="right" vertical="center"/>
      <protection hidden="1"/>
    </xf>
    <xf numFmtId="0" fontId="5" fillId="0" borderId="86" xfId="0" applyFont="1" applyBorder="1" applyAlignment="1" applyProtection="1">
      <alignment horizontal="right" vertical="center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0" fontId="3" fillId="11" borderId="19" xfId="0" applyFont="1" applyFill="1" applyBorder="1" applyAlignment="1" applyProtection="1">
      <alignment horizontal="center" vertical="center"/>
      <protection hidden="1"/>
    </xf>
    <xf numFmtId="0" fontId="5" fillId="0" borderId="39" xfId="0" applyFont="1" applyBorder="1" applyAlignment="1" applyProtection="1">
      <alignment horizontal="center" vertical="center"/>
      <protection hidden="1"/>
    </xf>
    <xf numFmtId="0" fontId="9" fillId="11" borderId="6" xfId="0" applyFont="1" applyFill="1" applyBorder="1" applyAlignment="1" applyProtection="1">
      <alignment horizontal="center" vertical="center"/>
      <protection hidden="1"/>
    </xf>
    <xf numFmtId="2" fontId="5" fillId="0" borderId="1" xfId="0" applyNumberFormat="1" applyFont="1" applyBorder="1" applyAlignment="1" applyProtection="1">
      <alignment vertical="center"/>
      <protection hidden="1"/>
    </xf>
    <xf numFmtId="165" fontId="2" fillId="0" borderId="54" xfId="0" applyNumberFormat="1" applyFont="1" applyBorder="1" applyAlignment="1" applyProtection="1">
      <alignment vertical="center"/>
      <protection hidden="1"/>
    </xf>
    <xf numFmtId="12" fontId="2" fillId="0" borderId="2" xfId="0" applyNumberFormat="1" applyFont="1" applyBorder="1" applyAlignment="1" applyProtection="1">
      <alignment horizontal="center" vertical="center"/>
      <protection hidden="1"/>
    </xf>
    <xf numFmtId="0" fontId="24" fillId="0" borderId="19" xfId="0" applyFont="1" applyBorder="1" applyAlignment="1" applyProtection="1">
      <alignment horizontal="center" vertical="center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24" fillId="0" borderId="5" xfId="0" applyFont="1" applyBorder="1" applyAlignment="1" applyProtection="1">
      <alignment horizontal="center" vertical="center"/>
      <protection hidden="1"/>
    </xf>
    <xf numFmtId="0" fontId="0" fillId="0" borderId="86" xfId="0" applyBorder="1" applyAlignment="1" applyProtection="1">
      <alignment vertical="center"/>
      <protection hidden="1"/>
    </xf>
    <xf numFmtId="164" fontId="0" fillId="0" borderId="86" xfId="0" applyNumberFormat="1" applyBorder="1" applyAlignment="1" applyProtection="1">
      <alignment vertical="center"/>
      <protection hidden="1"/>
    </xf>
    <xf numFmtId="0" fontId="5" fillId="0" borderId="86" xfId="0" applyFont="1" applyBorder="1" applyAlignment="1" applyProtection="1">
      <alignment horizontal="center" vertical="center"/>
      <protection hidden="1"/>
    </xf>
    <xf numFmtId="0" fontId="9" fillId="0" borderId="103" xfId="0" applyFont="1" applyBorder="1" applyAlignment="1" applyProtection="1">
      <alignment horizontal="right" vertical="center"/>
      <protection hidden="1"/>
    </xf>
    <xf numFmtId="0" fontId="9" fillId="0" borderId="103" xfId="0" applyFont="1" applyBorder="1" applyAlignment="1" applyProtection="1">
      <alignment horizontal="left" vertical="center"/>
      <protection hidden="1"/>
    </xf>
    <xf numFmtId="0" fontId="9" fillId="0" borderId="13" xfId="0" applyFont="1" applyBorder="1" applyAlignment="1" applyProtection="1">
      <alignment horizontal="right"/>
      <protection hidden="1"/>
    </xf>
    <xf numFmtId="1" fontId="5" fillId="5" borderId="50" xfId="0" applyNumberFormat="1" applyFont="1" applyFill="1" applyBorder="1" applyAlignment="1" applyProtection="1">
      <alignment horizontal="right" vertical="center"/>
      <protection hidden="1"/>
    </xf>
    <xf numFmtId="0" fontId="5" fillId="11" borderId="52" xfId="0" applyFont="1" applyFill="1" applyBorder="1" applyAlignment="1" applyProtection="1">
      <alignment horizontal="right" vertical="center" indent="1"/>
      <protection hidden="1"/>
    </xf>
    <xf numFmtId="0" fontId="37" fillId="4" borderId="36" xfId="0" applyFont="1" applyFill="1" applyBorder="1" applyAlignment="1">
      <alignment vertical="center"/>
    </xf>
    <xf numFmtId="0" fontId="37" fillId="4" borderId="79" xfId="0" applyFont="1" applyFill="1" applyBorder="1" applyAlignment="1">
      <alignment vertical="center"/>
    </xf>
    <xf numFmtId="0" fontId="9" fillId="4" borderId="23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justify" vertical="top"/>
    </xf>
    <xf numFmtId="0" fontId="0" fillId="4" borderId="23" xfId="0" applyFill="1" applyBorder="1" applyAlignment="1">
      <alignment wrapText="1"/>
    </xf>
    <xf numFmtId="0" fontId="37" fillId="4" borderId="7" xfId="0" applyFont="1" applyFill="1" applyBorder="1" applyAlignment="1">
      <alignment vertical="top" wrapText="1"/>
    </xf>
    <xf numFmtId="0" fontId="9" fillId="4" borderId="4" xfId="0" applyFont="1" applyFill="1" applyBorder="1" applyAlignment="1">
      <alignment horizontal="left" vertical="top" wrapText="1"/>
    </xf>
    <xf numFmtId="0" fontId="9" fillId="4" borderId="77" xfId="0" applyFont="1" applyFill="1" applyBorder="1" applyAlignment="1">
      <alignment horizontal="right" vertical="center"/>
    </xf>
    <xf numFmtId="0" fontId="9" fillId="4" borderId="21" xfId="0" applyFont="1" applyFill="1" applyBorder="1" applyAlignment="1">
      <alignment horizontal="right" vertical="center"/>
    </xf>
    <xf numFmtId="0" fontId="9" fillId="4" borderId="23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horizontal="left" vertical="top" wrapText="1"/>
    </xf>
    <xf numFmtId="0" fontId="9" fillId="4" borderId="23" xfId="0" applyFont="1" applyFill="1" applyBorder="1" applyAlignment="1">
      <alignment horizontal="justify" vertical="center"/>
    </xf>
    <xf numFmtId="0" fontId="9" fillId="4" borderId="23" xfId="0" applyFont="1" applyFill="1" applyBorder="1" applyAlignment="1">
      <alignment horizontal="left" wrapText="1"/>
    </xf>
    <xf numFmtId="1" fontId="5" fillId="4" borderId="34" xfId="0" applyNumberFormat="1" applyFont="1" applyFill="1" applyBorder="1" applyAlignment="1">
      <alignment horizontal="left" vertical="center"/>
    </xf>
    <xf numFmtId="0" fontId="37" fillId="4" borderId="39" xfId="0" applyFont="1" applyFill="1" applyBorder="1" applyAlignment="1">
      <alignment vertical="center"/>
    </xf>
    <xf numFmtId="1" fontId="2" fillId="4" borderId="1" xfId="0" applyNumberFormat="1" applyFont="1" applyFill="1" applyBorder="1" applyAlignment="1">
      <alignment horizontal="left" vertical="center" indent="1"/>
    </xf>
    <xf numFmtId="0" fontId="37" fillId="4" borderId="2" xfId="0" applyFont="1" applyFill="1" applyBorder="1" applyAlignment="1">
      <alignment vertical="center"/>
    </xf>
    <xf numFmtId="1" fontId="2" fillId="4" borderId="36" xfId="0" applyNumberFormat="1" applyFont="1" applyFill="1" applyBorder="1" applyAlignment="1">
      <alignment vertical="center"/>
    </xf>
    <xf numFmtId="0" fontId="37" fillId="4" borderId="41" xfId="0" applyFont="1" applyFill="1" applyBorder="1" applyAlignment="1">
      <alignment vertical="center"/>
    </xf>
    <xf numFmtId="1" fontId="9" fillId="4" borderId="1" xfId="0" quotePrefix="1" applyNumberFormat="1" applyFont="1" applyFill="1" applyBorder="1" applyAlignment="1">
      <alignment horizontal="left" vertical="center" indent="1"/>
    </xf>
    <xf numFmtId="0" fontId="37" fillId="4" borderId="4" xfId="0" applyFont="1" applyFill="1" applyBorder="1" applyAlignment="1">
      <alignment vertical="center"/>
    </xf>
    <xf numFmtId="1" fontId="5" fillId="4" borderId="34" xfId="0" applyNumberFormat="1" applyFont="1" applyFill="1" applyBorder="1" applyAlignment="1">
      <alignment horizontal="right" vertical="center" wrapText="1"/>
    </xf>
    <xf numFmtId="0" fontId="37" fillId="4" borderId="40" xfId="0" applyFont="1" applyFill="1" applyBorder="1" applyAlignment="1">
      <alignment vertical="center"/>
    </xf>
    <xf numFmtId="0" fontId="37" fillId="4" borderId="2" xfId="0" applyFont="1" applyFill="1" applyBorder="1" applyAlignment="1">
      <alignment vertical="top"/>
    </xf>
    <xf numFmtId="0" fontId="37" fillId="4" borderId="41" xfId="0" applyFont="1" applyFill="1" applyBorder="1" applyAlignment="1">
      <alignment vertical="top"/>
    </xf>
    <xf numFmtId="2" fontId="5" fillId="4" borderId="3" xfId="0" applyNumberFormat="1" applyFont="1" applyFill="1" applyBorder="1" applyAlignment="1">
      <alignment horizontal="right" vertical="center" wrapText="1"/>
    </xf>
    <xf numFmtId="0" fontId="37" fillId="4" borderId="39" xfId="0" applyFont="1" applyFill="1" applyBorder="1" applyAlignment="1">
      <alignment vertical="top"/>
    </xf>
    <xf numFmtId="0" fontId="37" fillId="4" borderId="3" xfId="0" applyFont="1" applyFill="1" applyBorder="1" applyAlignment="1">
      <alignment vertical="center"/>
    </xf>
    <xf numFmtId="0" fontId="37" fillId="4" borderId="4" xfId="0" applyFont="1" applyFill="1" applyBorder="1" applyAlignment="1">
      <alignment vertical="top" wrapText="1"/>
    </xf>
    <xf numFmtId="0" fontId="37" fillId="4" borderId="124" xfId="0" applyFont="1" applyFill="1" applyBorder="1" applyAlignment="1">
      <alignment vertical="top"/>
    </xf>
    <xf numFmtId="0" fontId="37" fillId="4" borderId="4" xfId="0" applyFont="1" applyFill="1" applyBorder="1" applyAlignment="1">
      <alignment vertical="top"/>
    </xf>
    <xf numFmtId="0" fontId="37" fillId="4" borderId="11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left" vertical="center" indent="1"/>
    </xf>
    <xf numFmtId="0" fontId="7" fillId="4" borderId="113" xfId="0" applyFont="1" applyFill="1" applyBorder="1" applyAlignment="1">
      <alignment horizontal="left" vertical="center" indent="1"/>
    </xf>
    <xf numFmtId="0" fontId="37" fillId="4" borderId="13" xfId="0" applyFont="1" applyFill="1" applyBorder="1" applyAlignment="1">
      <alignment vertical="top"/>
    </xf>
    <xf numFmtId="0" fontId="37" fillId="4" borderId="36" xfId="0" applyFont="1" applyFill="1" applyBorder="1" applyAlignment="1">
      <alignment horizontal="left" indent="1"/>
    </xf>
    <xf numFmtId="0" fontId="9" fillId="4" borderId="1" xfId="0" applyFont="1" applyFill="1" applyBorder="1" applyAlignment="1">
      <alignment vertical="center"/>
    </xf>
    <xf numFmtId="0" fontId="37" fillId="4" borderId="34" xfId="0" applyFont="1" applyFill="1" applyBorder="1" applyAlignment="1">
      <alignment vertical="center"/>
    </xf>
    <xf numFmtId="0" fontId="37" fillId="4" borderId="40" xfId="0" applyFont="1" applyFill="1" applyBorder="1" applyAlignment="1">
      <alignment vertical="top"/>
    </xf>
    <xf numFmtId="0" fontId="8" fillId="4" borderId="79" xfId="0" applyFont="1" applyFill="1" applyBorder="1" applyAlignment="1">
      <alignment horizontal="left" vertical="center" indent="1"/>
    </xf>
    <xf numFmtId="0" fontId="8" fillId="4" borderId="3" xfId="0" applyFont="1" applyFill="1" applyBorder="1" applyAlignment="1">
      <alignment horizontal="left" vertical="center" indent="1"/>
    </xf>
    <xf numFmtId="1" fontId="2" fillId="4" borderId="1" xfId="0" applyNumberFormat="1" applyFont="1" applyFill="1" applyBorder="1" applyAlignment="1">
      <alignment vertical="center"/>
    </xf>
    <xf numFmtId="1" fontId="2" fillId="4" borderId="65" xfId="0" applyNumberFormat="1" applyFont="1" applyFill="1" applyBorder="1" applyAlignment="1">
      <alignment horizontal="left" vertical="center" indent="1"/>
    </xf>
    <xf numFmtId="0" fontId="37" fillId="4" borderId="125" xfId="0" applyFont="1" applyFill="1" applyBorder="1" applyAlignment="1">
      <alignment vertical="center"/>
    </xf>
    <xf numFmtId="1" fontId="5" fillId="4" borderId="1" xfId="0" applyNumberFormat="1" applyFont="1" applyFill="1" applyBorder="1" applyAlignment="1">
      <alignment vertical="center"/>
    </xf>
    <xf numFmtId="0" fontId="37" fillId="4" borderId="79" xfId="0" applyFont="1" applyFill="1" applyBorder="1" applyAlignment="1">
      <alignment horizontal="left" vertical="center" indent="1"/>
    </xf>
    <xf numFmtId="0" fontId="0" fillId="4" borderId="39" xfId="0" applyFill="1" applyBorder="1" applyAlignment="1">
      <alignment wrapText="1"/>
    </xf>
    <xf numFmtId="0" fontId="37" fillId="4" borderId="80" xfId="0" applyFont="1" applyFill="1" applyBorder="1" applyAlignment="1">
      <alignment vertical="top"/>
    </xf>
    <xf numFmtId="0" fontId="37" fillId="4" borderId="125" xfId="0" applyFont="1" applyFill="1" applyBorder="1" applyAlignment="1">
      <alignment vertical="top"/>
    </xf>
    <xf numFmtId="0" fontId="5" fillId="11" borderId="111" xfId="0" applyFont="1" applyFill="1" applyBorder="1" applyAlignment="1" applyProtection="1">
      <alignment horizontal="center" vertical="center"/>
      <protection hidden="1"/>
    </xf>
    <xf numFmtId="0" fontId="9" fillId="11" borderId="110" xfId="0" applyFont="1" applyFill="1" applyBorder="1" applyAlignment="1" applyProtection="1">
      <alignment horizontal="center" vertical="center"/>
      <protection hidden="1"/>
    </xf>
    <xf numFmtId="0" fontId="19" fillId="0" borderId="24" xfId="0" applyFont="1" applyBorder="1" applyAlignment="1" applyProtection="1">
      <alignment horizontal="center" vertical="center"/>
      <protection hidden="1"/>
    </xf>
    <xf numFmtId="1" fontId="65" fillId="0" borderId="101" xfId="0" applyNumberFormat="1" applyFont="1" applyBorder="1" applyAlignment="1" applyProtection="1">
      <alignment horizontal="center" vertical="center"/>
      <protection hidden="1"/>
    </xf>
    <xf numFmtId="0" fontId="0" fillId="0" borderId="94" xfId="0" applyBorder="1" applyProtection="1">
      <protection hidden="1"/>
    </xf>
    <xf numFmtId="0" fontId="0" fillId="0" borderId="69" xfId="0" applyBorder="1" applyProtection="1">
      <protection hidden="1"/>
    </xf>
    <xf numFmtId="1" fontId="9" fillId="4" borderId="3" xfId="0" quotePrefix="1" applyNumberFormat="1" applyFont="1" applyFill="1" applyBorder="1" applyAlignment="1">
      <alignment horizontal="left" vertical="center" indent="1"/>
    </xf>
    <xf numFmtId="1" fontId="2" fillId="10" borderId="0" xfId="0" applyNumberFormat="1" applyFont="1" applyFill="1" applyAlignment="1" applyProtection="1">
      <alignment horizontal="center"/>
      <protection hidden="1"/>
    </xf>
    <xf numFmtId="0" fontId="0" fillId="10" borderId="19" xfId="0" applyFill="1" applyBorder="1" applyProtection="1">
      <protection hidden="1"/>
    </xf>
    <xf numFmtId="0" fontId="85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9" fillId="0" borderId="34" xfId="0" applyFont="1" applyBorder="1" applyAlignment="1" applyProtection="1">
      <alignment horizontal="left" vertical="center"/>
      <protection hidden="1"/>
    </xf>
    <xf numFmtId="0" fontId="2" fillId="0" borderId="86" xfId="0" applyFont="1" applyBorder="1" applyAlignment="1" applyProtection="1">
      <alignment vertical="top"/>
      <protection hidden="1"/>
    </xf>
    <xf numFmtId="1" fontId="2" fillId="4" borderId="14" xfId="0" applyNumberFormat="1" applyFont="1" applyFill="1" applyBorder="1" applyAlignment="1" applyProtection="1">
      <alignment horizontal="center" vertical="center"/>
      <protection hidden="1"/>
    </xf>
    <xf numFmtId="1" fontId="0" fillId="4" borderId="19" xfId="0" applyNumberFormat="1" applyFill="1" applyBorder="1" applyAlignment="1" applyProtection="1">
      <alignment horizontal="center" vertical="center"/>
      <protection hidden="1"/>
    </xf>
    <xf numFmtId="0" fontId="0" fillId="2" borderId="5" xfId="0" applyFill="1" applyBorder="1" applyAlignment="1" applyProtection="1">
      <alignment vertical="center"/>
      <protection hidden="1"/>
    </xf>
    <xf numFmtId="171" fontId="7" fillId="0" borderId="0" xfId="0" applyNumberFormat="1" applyFont="1" applyAlignment="1" applyProtection="1">
      <alignment horizontal="center" vertical="center"/>
      <protection hidden="1"/>
    </xf>
    <xf numFmtId="0" fontId="86" fillId="0" borderId="23" xfId="0" applyFont="1" applyBorder="1" applyAlignment="1" applyProtection="1">
      <alignment horizontal="right" vertical="top"/>
      <protection hidden="1"/>
    </xf>
    <xf numFmtId="0" fontId="87" fillId="2" borderId="5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top"/>
      <protection hidden="1"/>
    </xf>
    <xf numFmtId="0" fontId="88" fillId="0" borderId="0" xfId="0" applyFont="1" applyProtection="1">
      <protection hidden="1"/>
    </xf>
    <xf numFmtId="2" fontId="88" fillId="0" borderId="21" xfId="0" applyNumberFormat="1" applyFont="1" applyBorder="1" applyProtection="1">
      <protection hidden="1"/>
    </xf>
    <xf numFmtId="1" fontId="0" fillId="10" borderId="19" xfId="0" applyNumberFormat="1" applyFill="1" applyBorder="1" applyAlignment="1" applyProtection="1">
      <alignment horizontal="center" vertical="center"/>
      <protection hidden="1"/>
    </xf>
    <xf numFmtId="0" fontId="89" fillId="0" borderId="86" xfId="0" applyFont="1" applyBorder="1" applyAlignment="1" applyProtection="1">
      <alignment horizontal="center"/>
      <protection hidden="1"/>
    </xf>
    <xf numFmtId="3" fontId="2" fillId="16" borderId="19" xfId="0" applyNumberFormat="1" applyFont="1" applyFill="1" applyBorder="1" applyAlignment="1" applyProtection="1">
      <alignment horizontal="center" vertical="center" wrapText="1"/>
      <protection locked="0"/>
    </xf>
    <xf numFmtId="4" fontId="2" fillId="16" borderId="19" xfId="0" applyNumberFormat="1" applyFont="1" applyFill="1" applyBorder="1" applyAlignment="1" applyProtection="1">
      <alignment horizontal="center" vertical="center" wrapText="1"/>
      <protection locked="0"/>
    </xf>
    <xf numFmtId="2" fontId="2" fillId="16" borderId="19" xfId="0" applyNumberFormat="1" applyFont="1" applyFill="1" applyBorder="1" applyAlignment="1" applyProtection="1">
      <alignment horizontal="center" vertical="center" wrapText="1"/>
      <protection locked="0"/>
    </xf>
    <xf numFmtId="165" fontId="2" fillId="16" borderId="19" xfId="0" applyNumberFormat="1" applyFont="1" applyFill="1" applyBorder="1" applyAlignment="1" applyProtection="1">
      <alignment horizontal="center" vertical="center" wrapText="1"/>
      <protection locked="0"/>
    </xf>
    <xf numFmtId="9" fontId="2" fillId="16" borderId="19" xfId="7" applyFont="1" applyFill="1" applyBorder="1" applyAlignment="1" applyProtection="1">
      <alignment horizontal="center" vertical="center"/>
      <protection locked="0"/>
    </xf>
    <xf numFmtId="0" fontId="2" fillId="16" borderId="19" xfId="0" applyFont="1" applyFill="1" applyBorder="1" applyAlignment="1" applyProtection="1">
      <alignment horizontal="center" vertical="center"/>
      <protection locked="0"/>
    </xf>
    <xf numFmtId="0" fontId="2" fillId="16" borderId="21" xfId="0" applyFont="1" applyFill="1" applyBorder="1" applyAlignment="1" applyProtection="1">
      <alignment horizontal="center" vertical="center"/>
      <protection locked="0"/>
    </xf>
    <xf numFmtId="2" fontId="2" fillId="16" borderId="19" xfId="0" applyNumberFormat="1" applyFont="1" applyFill="1" applyBorder="1" applyAlignment="1" applyProtection="1">
      <alignment horizontal="center" vertical="top" wrapText="1"/>
      <protection locked="0"/>
    </xf>
    <xf numFmtId="2" fontId="0" fillId="16" borderId="13" xfId="0" applyNumberFormat="1" applyFill="1" applyBorder="1" applyAlignment="1" applyProtection="1">
      <alignment vertical="center"/>
      <protection locked="0"/>
    </xf>
    <xf numFmtId="165" fontId="5" fillId="16" borderId="35" xfId="0" applyNumberFormat="1" applyFont="1" applyFill="1" applyBorder="1" applyAlignment="1" applyProtection="1">
      <alignment vertical="center"/>
      <protection locked="0"/>
    </xf>
    <xf numFmtId="2" fontId="5" fillId="17" borderId="14" xfId="0" applyNumberFormat="1" applyFont="1" applyFill="1" applyBorder="1" applyAlignment="1" applyProtection="1">
      <alignment vertical="center"/>
      <protection hidden="1"/>
    </xf>
    <xf numFmtId="2" fontId="0" fillId="17" borderId="21" xfId="0" applyNumberFormat="1" applyFill="1" applyBorder="1" applyAlignment="1" applyProtection="1">
      <alignment vertical="center"/>
      <protection hidden="1"/>
    </xf>
    <xf numFmtId="4" fontId="5" fillId="17" borderId="3" xfId="0" applyNumberFormat="1" applyFont="1" applyFill="1" applyBorder="1" applyAlignment="1" applyProtection="1">
      <alignment vertical="center"/>
      <protection hidden="1"/>
    </xf>
    <xf numFmtId="4" fontId="5" fillId="17" borderId="14" xfId="0" applyNumberFormat="1" applyFont="1" applyFill="1" applyBorder="1" applyAlignment="1" applyProtection="1">
      <alignment vertical="center"/>
      <protection hidden="1"/>
    </xf>
    <xf numFmtId="4" fontId="5" fillId="17" borderId="6" xfId="0" applyNumberFormat="1" applyFont="1" applyFill="1" applyBorder="1" applyAlignment="1" applyProtection="1">
      <alignment vertical="center"/>
      <protection hidden="1"/>
    </xf>
    <xf numFmtId="4" fontId="2" fillId="17" borderId="14" xfId="0" applyNumberFormat="1" applyFont="1" applyFill="1" applyBorder="1" applyAlignment="1" applyProtection="1">
      <alignment vertical="center"/>
      <protection hidden="1"/>
    </xf>
    <xf numFmtId="2" fontId="2" fillId="17" borderId="52" xfId="0" applyNumberFormat="1" applyFont="1" applyFill="1" applyBorder="1" applyAlignment="1" applyProtection="1">
      <alignment vertical="center"/>
      <protection hidden="1"/>
    </xf>
    <xf numFmtId="164" fontId="0" fillId="18" borderId="6" xfId="0" applyNumberFormat="1" applyFill="1" applyBorder="1" applyAlignment="1" applyProtection="1">
      <alignment vertical="center"/>
      <protection hidden="1"/>
    </xf>
    <xf numFmtId="0" fontId="2" fillId="18" borderId="21" xfId="0" applyFont="1" applyFill="1" applyBorder="1" applyAlignment="1" applyProtection="1">
      <alignment horizontal="center" vertical="center"/>
      <protection hidden="1"/>
    </xf>
    <xf numFmtId="165" fontId="2" fillId="18" borderId="14" xfId="0" applyNumberFormat="1" applyFont="1" applyFill="1" applyBorder="1" applyAlignment="1" applyProtection="1">
      <alignment vertical="center"/>
      <protection hidden="1"/>
    </xf>
    <xf numFmtId="165" fontId="5" fillId="18" borderId="7" xfId="0" applyNumberFormat="1" applyFont="1" applyFill="1" applyBorder="1" applyAlignment="1" applyProtection="1">
      <alignment vertical="center"/>
      <protection hidden="1"/>
    </xf>
    <xf numFmtId="165" fontId="5" fillId="18" borderId="74" xfId="0" applyNumberFormat="1" applyFont="1" applyFill="1" applyBorder="1" applyAlignment="1" applyProtection="1">
      <alignment vertical="center"/>
      <protection hidden="1"/>
    </xf>
    <xf numFmtId="12" fontId="2" fillId="18" borderId="4" xfId="0" applyNumberFormat="1" applyFont="1" applyFill="1" applyBorder="1" applyAlignment="1" applyProtection="1">
      <alignment horizontal="center" vertical="center"/>
      <protection hidden="1"/>
    </xf>
    <xf numFmtId="0" fontId="0" fillId="17" borderId="0" xfId="0" applyFill="1" applyAlignment="1" applyProtection="1">
      <alignment vertical="center"/>
      <protection hidden="1"/>
    </xf>
    <xf numFmtId="4" fontId="65" fillId="17" borderId="4" xfId="0" applyNumberFormat="1" applyFont="1" applyFill="1" applyBorder="1" applyAlignment="1" applyProtection="1">
      <alignment vertical="center"/>
      <protection hidden="1"/>
    </xf>
    <xf numFmtId="4" fontId="5" fillId="17" borderId="4" xfId="0" applyNumberFormat="1" applyFont="1" applyFill="1" applyBorder="1" applyAlignment="1" applyProtection="1">
      <alignment vertical="center"/>
      <protection hidden="1"/>
    </xf>
    <xf numFmtId="2" fontId="2" fillId="17" borderId="14" xfId="0" applyNumberFormat="1" applyFont="1" applyFill="1" applyBorder="1" applyAlignment="1" applyProtection="1">
      <alignment vertical="center"/>
      <protection hidden="1"/>
    </xf>
    <xf numFmtId="4" fontId="5" fillId="17" borderId="13" xfId="0" applyNumberFormat="1" applyFont="1" applyFill="1" applyBorder="1" applyAlignment="1" applyProtection="1">
      <alignment vertical="center"/>
      <protection hidden="1"/>
    </xf>
    <xf numFmtId="4" fontId="5" fillId="17" borderId="52" xfId="0" applyNumberFormat="1" applyFont="1" applyFill="1" applyBorder="1" applyAlignment="1" applyProtection="1">
      <alignment vertical="center"/>
      <protection hidden="1"/>
    </xf>
    <xf numFmtId="2" fontId="5" fillId="17" borderId="6" xfId="0" applyNumberFormat="1" applyFont="1" applyFill="1" applyBorder="1" applyAlignment="1" applyProtection="1">
      <alignment vertical="center"/>
      <protection hidden="1"/>
    </xf>
    <xf numFmtId="167" fontId="5" fillId="17" borderId="6" xfId="0" applyNumberFormat="1" applyFont="1" applyFill="1" applyBorder="1" applyAlignment="1" applyProtection="1">
      <alignment vertical="center"/>
      <protection hidden="1"/>
    </xf>
    <xf numFmtId="1" fontId="47" fillId="17" borderId="3" xfId="0" applyNumberFormat="1" applyFont="1" applyFill="1" applyBorder="1" applyAlignment="1" applyProtection="1">
      <alignment horizontal="center" vertical="center"/>
      <protection hidden="1"/>
    </xf>
    <xf numFmtId="2" fontId="0" fillId="16" borderId="28" xfId="0" applyNumberFormat="1" applyFill="1" applyBorder="1" applyAlignment="1" applyProtection="1">
      <alignment vertical="center"/>
      <protection locked="0"/>
    </xf>
    <xf numFmtId="2" fontId="0" fillId="16" borderId="7" xfId="0" applyNumberFormat="1" applyFill="1" applyBorder="1" applyAlignment="1" applyProtection="1">
      <alignment vertical="center"/>
      <protection locked="0"/>
    </xf>
    <xf numFmtId="49" fontId="2" fillId="19" borderId="26" xfId="0" applyNumberFormat="1" applyFont="1" applyFill="1" applyBorder="1" applyAlignment="1" applyProtection="1">
      <alignment horizontal="center" vertical="center"/>
      <protection locked="0"/>
    </xf>
    <xf numFmtId="49" fontId="2" fillId="19" borderId="13" xfId="0" applyNumberFormat="1" applyFont="1" applyFill="1" applyBorder="1" applyAlignment="1" applyProtection="1">
      <alignment horizontal="center" vertical="center"/>
      <protection locked="0"/>
    </xf>
    <xf numFmtId="1" fontId="0" fillId="19" borderId="52" xfId="0" applyNumberFormat="1" applyFill="1" applyBorder="1" applyAlignment="1" applyProtection="1">
      <alignment horizontal="center" vertical="center"/>
      <protection locked="0"/>
    </xf>
    <xf numFmtId="1" fontId="0" fillId="19" borderId="28" xfId="0" applyNumberFormat="1" applyFill="1" applyBorder="1" applyAlignment="1" applyProtection="1">
      <alignment horizontal="center" vertical="center"/>
      <protection locked="0"/>
    </xf>
    <xf numFmtId="2" fontId="5" fillId="19" borderId="6" xfId="0" applyNumberFormat="1" applyFont="1" applyFill="1" applyBorder="1" applyAlignment="1" applyProtection="1">
      <alignment vertical="center"/>
      <protection locked="0"/>
    </xf>
    <xf numFmtId="2" fontId="0" fillId="19" borderId="28" xfId="0" applyNumberFormat="1" applyFill="1" applyBorder="1" applyAlignment="1" applyProtection="1">
      <alignment vertical="center"/>
      <protection locked="0"/>
    </xf>
    <xf numFmtId="0" fontId="2" fillId="19" borderId="14" xfId="0" applyFont="1" applyFill="1" applyBorder="1" applyAlignment="1" applyProtection="1">
      <alignment horizontal="center" vertical="center"/>
      <protection locked="0"/>
    </xf>
    <xf numFmtId="0" fontId="2" fillId="19" borderId="26" xfId="0" applyFont="1" applyFill="1" applyBorder="1" applyAlignment="1" applyProtection="1">
      <alignment horizontal="center" vertical="center"/>
      <protection locked="0"/>
    </xf>
    <xf numFmtId="0" fontId="2" fillId="19" borderId="13" xfId="0" applyFont="1" applyFill="1" applyBorder="1" applyAlignment="1" applyProtection="1">
      <alignment horizontal="center" vertical="center"/>
      <protection locked="0"/>
    </xf>
    <xf numFmtId="1" fontId="47" fillId="19" borderId="52" xfId="0" applyNumberFormat="1" applyFont="1" applyFill="1" applyBorder="1" applyAlignment="1" applyProtection="1">
      <alignment horizontal="center" vertical="center"/>
      <protection locked="0"/>
    </xf>
    <xf numFmtId="1" fontId="64" fillId="19" borderId="26" xfId="0" applyNumberFormat="1" applyFont="1" applyFill="1" applyBorder="1" applyAlignment="1" applyProtection="1">
      <alignment horizontal="center" vertical="center"/>
      <protection locked="0"/>
    </xf>
    <xf numFmtId="1" fontId="64" fillId="19" borderId="28" xfId="0" applyNumberFormat="1" applyFont="1" applyFill="1" applyBorder="1" applyAlignment="1" applyProtection="1">
      <alignment horizontal="center" vertical="center"/>
      <protection locked="0"/>
    </xf>
    <xf numFmtId="1" fontId="3" fillId="19" borderId="92" xfId="0" applyNumberFormat="1" applyFont="1" applyFill="1" applyBorder="1" applyAlignment="1" applyProtection="1">
      <alignment horizontal="center" vertical="center"/>
      <protection hidden="1"/>
    </xf>
    <xf numFmtId="1" fontId="3" fillId="19" borderId="26" xfId="0" applyNumberFormat="1" applyFont="1" applyFill="1" applyBorder="1" applyAlignment="1" applyProtection="1">
      <alignment horizontal="center" vertical="center"/>
      <protection hidden="1"/>
    </xf>
    <xf numFmtId="2" fontId="9" fillId="19" borderId="26" xfId="0" applyNumberFormat="1" applyFont="1" applyFill="1" applyBorder="1" applyAlignment="1" applyProtection="1">
      <alignment vertical="center"/>
      <protection hidden="1"/>
    </xf>
    <xf numFmtId="2" fontId="9" fillId="19" borderId="28" xfId="0" applyNumberFormat="1" applyFont="1" applyFill="1" applyBorder="1" applyAlignment="1" applyProtection="1">
      <alignment vertical="center"/>
      <protection hidden="1"/>
    </xf>
    <xf numFmtId="1" fontId="64" fillId="19" borderId="52" xfId="0" applyNumberFormat="1" applyFont="1" applyFill="1" applyBorder="1" applyAlignment="1" applyProtection="1">
      <alignment horizontal="center" vertical="center"/>
      <protection locked="0"/>
    </xf>
    <xf numFmtId="0" fontId="2" fillId="19" borderId="19" xfId="0" applyFont="1" applyFill="1" applyBorder="1" applyAlignment="1" applyProtection="1">
      <alignment horizontal="center"/>
      <protection locked="0"/>
    </xf>
    <xf numFmtId="2" fontId="2" fillId="16" borderId="21" xfId="0" applyNumberFormat="1" applyFont="1" applyFill="1" applyBorder="1" applyAlignment="1" applyProtection="1">
      <alignment horizontal="center" vertical="center" wrapText="1"/>
      <protection locked="0"/>
    </xf>
    <xf numFmtId="2" fontId="5" fillId="18" borderId="19" xfId="0" applyNumberFormat="1" applyFont="1" applyFill="1" applyBorder="1" applyAlignment="1" applyProtection="1">
      <alignment horizontal="center" vertical="center" wrapText="1"/>
      <protection hidden="1"/>
    </xf>
    <xf numFmtId="2" fontId="5" fillId="18" borderId="5" xfId="0" applyNumberFormat="1" applyFont="1" applyFill="1" applyBorder="1" applyAlignment="1" applyProtection="1">
      <alignment horizontal="center" vertical="center" wrapText="1"/>
      <protection hidden="1"/>
    </xf>
    <xf numFmtId="2" fontId="2" fillId="17" borderId="13" xfId="0" applyNumberFormat="1" applyFont="1" applyFill="1" applyBorder="1" applyAlignment="1" applyProtection="1">
      <alignment horizontal="center" vertical="center" wrapText="1"/>
      <protection hidden="1"/>
    </xf>
    <xf numFmtId="2" fontId="2" fillId="17" borderId="21" xfId="0" applyNumberFormat="1" applyFont="1" applyFill="1" applyBorder="1" applyAlignment="1" applyProtection="1">
      <alignment horizontal="center" vertical="center" wrapText="1"/>
      <protection hidden="1"/>
    </xf>
    <xf numFmtId="2" fontId="5" fillId="17" borderId="19" xfId="0" applyNumberFormat="1" applyFont="1" applyFill="1" applyBorder="1" applyAlignment="1" applyProtection="1">
      <alignment horizontal="right" vertical="center"/>
      <protection hidden="1"/>
    </xf>
    <xf numFmtId="2" fontId="5" fillId="17" borderId="6" xfId="0" applyNumberFormat="1" applyFont="1" applyFill="1" applyBorder="1" applyAlignment="1" applyProtection="1">
      <alignment horizontal="right" vertical="center"/>
      <protection hidden="1"/>
    </xf>
    <xf numFmtId="0" fontId="8" fillId="16" borderId="19" xfId="0" applyFont="1" applyFill="1" applyBorder="1" applyAlignment="1" applyProtection="1">
      <alignment horizontal="right" vertical="center"/>
      <protection locked="0"/>
    </xf>
    <xf numFmtId="0" fontId="11" fillId="17" borderId="19" xfId="0" applyFont="1" applyFill="1" applyBorder="1" applyAlignment="1" applyProtection="1">
      <alignment horizontal="center" vertical="center"/>
      <protection hidden="1"/>
    </xf>
    <xf numFmtId="0" fontId="24" fillId="20" borderId="99" xfId="0" applyFont="1" applyFill="1" applyBorder="1" applyAlignment="1" applyProtection="1">
      <alignment horizontal="center" vertical="center"/>
      <protection hidden="1"/>
    </xf>
    <xf numFmtId="0" fontId="24" fillId="20" borderId="24" xfId="0" applyFont="1" applyFill="1" applyBorder="1" applyProtection="1">
      <protection hidden="1"/>
    </xf>
    <xf numFmtId="0" fontId="0" fillId="21" borderId="0" xfId="0" applyFill="1" applyAlignment="1" applyProtection="1">
      <alignment vertical="center"/>
      <protection hidden="1"/>
    </xf>
    <xf numFmtId="0" fontId="91" fillId="22" borderId="0" xfId="0" applyFont="1" applyFill="1" applyAlignment="1" applyProtection="1">
      <alignment vertical="center"/>
      <protection hidden="1"/>
    </xf>
    <xf numFmtId="0" fontId="92" fillId="22" borderId="0" xfId="0" applyFont="1" applyFill="1" applyAlignment="1" applyProtection="1">
      <alignment vertical="center"/>
      <protection hidden="1"/>
    </xf>
    <xf numFmtId="0" fontId="89" fillId="22" borderId="0" xfId="0" applyFont="1" applyFill="1" applyAlignment="1" applyProtection="1">
      <alignment vertical="center"/>
      <protection hidden="1"/>
    </xf>
    <xf numFmtId="0" fontId="0" fillId="21" borderId="0" xfId="0" applyFill="1" applyProtection="1">
      <protection hidden="1"/>
    </xf>
    <xf numFmtId="0" fontId="26" fillId="21" borderId="0" xfId="0" applyFont="1" applyFill="1" applyAlignment="1" applyProtection="1">
      <alignment vertical="top" wrapText="1"/>
      <protection hidden="1"/>
    </xf>
    <xf numFmtId="0" fontId="31" fillId="22" borderId="6" xfId="0" applyFont="1" applyFill="1" applyBorder="1" applyProtection="1">
      <protection hidden="1"/>
    </xf>
    <xf numFmtId="0" fontId="31" fillId="22" borderId="24" xfId="0" applyFont="1" applyFill="1" applyBorder="1" applyProtection="1">
      <protection hidden="1"/>
    </xf>
    <xf numFmtId="0" fontId="32" fillId="22" borderId="24" xfId="0" applyFont="1" applyFill="1" applyBorder="1" applyAlignment="1" applyProtection="1">
      <alignment vertical="top" wrapText="1"/>
      <protection hidden="1"/>
    </xf>
    <xf numFmtId="0" fontId="24" fillId="22" borderId="24" xfId="0" applyFont="1" applyFill="1" applyBorder="1" applyAlignment="1" applyProtection="1">
      <alignment horizontal="center" vertical="center"/>
      <protection hidden="1"/>
    </xf>
    <xf numFmtId="0" fontId="24" fillId="22" borderId="24" xfId="0" applyFont="1" applyFill="1" applyBorder="1" applyAlignment="1" applyProtection="1">
      <alignment horizontal="left" vertical="center"/>
      <protection hidden="1"/>
    </xf>
    <xf numFmtId="0" fontId="14" fillId="22" borderId="26" xfId="0" applyFont="1" applyFill="1" applyBorder="1" applyAlignment="1" applyProtection="1">
      <alignment horizontal="center" vertical="center"/>
      <protection hidden="1"/>
    </xf>
    <xf numFmtId="0" fontId="14" fillId="22" borderId="35" xfId="0" quotePrefix="1" applyFont="1" applyFill="1" applyBorder="1" applyAlignment="1" applyProtection="1">
      <alignment vertical="center"/>
      <protection hidden="1"/>
    </xf>
    <xf numFmtId="0" fontId="24" fillId="22" borderId="24" xfId="0" applyFont="1" applyFill="1" applyBorder="1" applyProtection="1">
      <protection hidden="1"/>
    </xf>
    <xf numFmtId="0" fontId="75" fillId="22" borderId="0" xfId="0" applyFont="1" applyFill="1" applyProtection="1">
      <protection hidden="1"/>
    </xf>
    <xf numFmtId="0" fontId="24" fillId="22" borderId="92" xfId="0" applyFont="1" applyFill="1" applyBorder="1" applyAlignment="1" applyProtection="1">
      <alignment horizontal="center" vertical="center"/>
      <protection hidden="1"/>
    </xf>
    <xf numFmtId="0" fontId="19" fillId="23" borderId="3" xfId="0" applyFont="1" applyFill="1" applyBorder="1" applyAlignment="1" applyProtection="1">
      <alignment horizontal="left" vertical="center"/>
      <protection hidden="1"/>
    </xf>
    <xf numFmtId="0" fontId="19" fillId="23" borderId="7" xfId="0" applyFont="1" applyFill="1" applyBorder="1" applyAlignment="1" applyProtection="1">
      <alignment horizontal="left" vertical="center"/>
      <protection hidden="1"/>
    </xf>
    <xf numFmtId="0" fontId="24" fillId="23" borderId="7" xfId="0" applyFont="1" applyFill="1" applyBorder="1" applyAlignment="1" applyProtection="1">
      <alignment horizontal="center" vertical="center"/>
      <protection hidden="1"/>
    </xf>
    <xf numFmtId="0" fontId="24" fillId="23" borderId="0" xfId="0" applyFont="1" applyFill="1" applyAlignment="1" applyProtection="1">
      <alignment horizontal="center" vertical="center"/>
      <protection hidden="1"/>
    </xf>
    <xf numFmtId="0" fontId="7" fillId="23" borderId="0" xfId="0" applyFont="1" applyFill="1" applyAlignment="1" applyProtection="1">
      <alignment horizontal="center" vertical="center"/>
      <protection hidden="1"/>
    </xf>
    <xf numFmtId="0" fontId="9" fillId="23" borderId="0" xfId="0" applyFont="1" applyFill="1" applyAlignment="1" applyProtection="1">
      <alignment horizontal="center" vertical="center"/>
      <protection hidden="1"/>
    </xf>
    <xf numFmtId="0" fontId="24" fillId="23" borderId="4" xfId="0" applyFont="1" applyFill="1" applyBorder="1" applyAlignment="1" applyProtection="1">
      <alignment horizontal="center" vertical="center"/>
      <protection hidden="1"/>
    </xf>
    <xf numFmtId="0" fontId="24" fillId="23" borderId="57" xfId="0" applyFont="1" applyFill="1" applyBorder="1" applyAlignment="1" applyProtection="1">
      <alignment horizontal="center" vertical="center"/>
      <protection hidden="1"/>
    </xf>
    <xf numFmtId="0" fontId="24" fillId="23" borderId="23" xfId="0" applyFont="1" applyFill="1" applyBorder="1" applyAlignment="1" applyProtection="1">
      <alignment horizontal="center" vertical="center"/>
      <protection hidden="1"/>
    </xf>
    <xf numFmtId="0" fontId="14" fillId="23" borderId="24" xfId="0" applyFont="1" applyFill="1" applyBorder="1" applyProtection="1">
      <protection hidden="1"/>
    </xf>
    <xf numFmtId="0" fontId="24" fillId="23" borderId="23" xfId="0" applyFont="1" applyFill="1" applyBorder="1" applyProtection="1">
      <protection hidden="1"/>
    </xf>
    <xf numFmtId="0" fontId="19" fillId="23" borderId="24" xfId="0" applyFont="1" applyFill="1" applyBorder="1" applyAlignment="1" applyProtection="1">
      <alignment horizontal="center" vertical="center"/>
      <protection hidden="1"/>
    </xf>
    <xf numFmtId="0" fontId="75" fillId="23" borderId="24" xfId="0" applyFont="1" applyFill="1" applyBorder="1" applyAlignment="1" applyProtection="1">
      <alignment vertical="center"/>
      <protection hidden="1"/>
    </xf>
    <xf numFmtId="0" fontId="24" fillId="23" borderId="13" xfId="0" applyFont="1" applyFill="1" applyBorder="1" applyProtection="1">
      <protection hidden="1"/>
    </xf>
    <xf numFmtId="0" fontId="24" fillId="23" borderId="6" xfId="0" applyFont="1" applyFill="1" applyBorder="1" applyAlignment="1" applyProtection="1">
      <alignment horizontal="center" vertical="center"/>
      <protection hidden="1"/>
    </xf>
    <xf numFmtId="0" fontId="74" fillId="22" borderId="0" xfId="0" quotePrefix="1" applyFont="1" applyFill="1" applyAlignment="1" applyProtection="1">
      <alignment vertical="center"/>
      <protection hidden="1"/>
    </xf>
    <xf numFmtId="0" fontId="21" fillId="22" borderId="0" xfId="0" applyFont="1" applyFill="1" applyAlignment="1" applyProtection="1">
      <alignment vertical="center"/>
      <protection hidden="1"/>
    </xf>
    <xf numFmtId="0" fontId="14" fillId="22" borderId="0" xfId="0" applyFont="1" applyFill="1" applyAlignment="1" applyProtection="1">
      <alignment vertical="center"/>
      <protection hidden="1"/>
    </xf>
    <xf numFmtId="0" fontId="24" fillId="23" borderId="24" xfId="0" applyFont="1" applyFill="1" applyBorder="1" applyProtection="1">
      <protection hidden="1"/>
    </xf>
    <xf numFmtId="0" fontId="31" fillId="23" borderId="23" xfId="0" applyFont="1" applyFill="1" applyBorder="1" applyProtection="1">
      <protection hidden="1"/>
    </xf>
    <xf numFmtId="0" fontId="75" fillId="23" borderId="0" xfId="0" applyFont="1" applyFill="1" applyProtection="1">
      <protection hidden="1"/>
    </xf>
    <xf numFmtId="0" fontId="14" fillId="23" borderId="24" xfId="0" applyFont="1" applyFill="1" applyBorder="1" applyAlignment="1" applyProtection="1">
      <alignment horizontal="center"/>
      <protection hidden="1"/>
    </xf>
    <xf numFmtId="0" fontId="19" fillId="23" borderId="6" xfId="0" applyFont="1" applyFill="1" applyBorder="1" applyAlignment="1" applyProtection="1">
      <alignment horizontal="left" vertical="center"/>
      <protection hidden="1"/>
    </xf>
    <xf numFmtId="0" fontId="24" fillId="23" borderId="24" xfId="0" applyFont="1" applyFill="1" applyBorder="1" applyAlignment="1" applyProtection="1">
      <alignment horizontal="center" vertical="center"/>
      <protection hidden="1"/>
    </xf>
    <xf numFmtId="0" fontId="5" fillId="23" borderId="24" xfId="0" applyFont="1" applyFill="1" applyBorder="1" applyAlignment="1" applyProtection="1">
      <alignment horizontal="center" vertical="center"/>
      <protection hidden="1"/>
    </xf>
    <xf numFmtId="0" fontId="9" fillId="23" borderId="24" xfId="0" applyFont="1" applyFill="1" applyBorder="1" applyAlignment="1" applyProtection="1">
      <alignment horizontal="center" vertical="center"/>
      <protection hidden="1"/>
    </xf>
    <xf numFmtId="0" fontId="23" fillId="24" borderId="34" xfId="0" applyFont="1" applyFill="1" applyBorder="1" applyAlignment="1" applyProtection="1">
      <alignment horizontal="center" vertical="center"/>
      <protection hidden="1"/>
    </xf>
    <xf numFmtId="0" fontId="23" fillId="24" borderId="39" xfId="0" applyFont="1" applyFill="1" applyBorder="1" applyAlignment="1" applyProtection="1">
      <alignment horizontal="center" vertical="center"/>
      <protection hidden="1"/>
    </xf>
    <xf numFmtId="0" fontId="23" fillId="24" borderId="5" xfId="0" applyFont="1" applyFill="1" applyBorder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vertical="center"/>
      <protection hidden="1"/>
    </xf>
    <xf numFmtId="0" fontId="13" fillId="24" borderId="44" xfId="0" applyFont="1" applyFill="1" applyBorder="1" applyAlignment="1" applyProtection="1">
      <alignment horizontal="center" vertical="center"/>
      <protection hidden="1"/>
    </xf>
    <xf numFmtId="0" fontId="13" fillId="24" borderId="51" xfId="0" applyFont="1" applyFill="1" applyBorder="1" applyAlignment="1" applyProtection="1">
      <alignment horizontal="center" vertical="center"/>
      <protection hidden="1"/>
    </xf>
    <xf numFmtId="0" fontId="13" fillId="24" borderId="27" xfId="0" applyFont="1" applyFill="1" applyBorder="1" applyAlignment="1" applyProtection="1">
      <alignment horizontal="center" vertical="center"/>
      <protection hidden="1"/>
    </xf>
    <xf numFmtId="0" fontId="13" fillId="24" borderId="41" xfId="0" applyFont="1" applyFill="1" applyBorder="1" applyAlignment="1" applyProtection="1">
      <alignment horizontal="center" vertical="center"/>
      <protection hidden="1"/>
    </xf>
    <xf numFmtId="0" fontId="13" fillId="24" borderId="42" xfId="0" applyFont="1" applyFill="1" applyBorder="1" applyAlignment="1" applyProtection="1">
      <alignment horizontal="center" vertical="center"/>
      <protection hidden="1"/>
    </xf>
    <xf numFmtId="0" fontId="16" fillId="24" borderId="36" xfId="0" applyFont="1" applyFill="1" applyBorder="1" applyAlignment="1" applyProtection="1">
      <alignment horizontal="center" vertical="center" wrapText="1"/>
      <protection hidden="1"/>
    </xf>
    <xf numFmtId="0" fontId="16" fillId="24" borderId="41" xfId="0" applyFont="1" applyFill="1" applyBorder="1" applyAlignment="1" applyProtection="1">
      <alignment horizontal="center" vertical="center" wrapText="1"/>
      <protection hidden="1"/>
    </xf>
    <xf numFmtId="0" fontId="13" fillId="24" borderId="37" xfId="0" applyFont="1" applyFill="1" applyBorder="1" applyAlignment="1" applyProtection="1">
      <alignment horizontal="center" vertical="center"/>
      <protection hidden="1"/>
    </xf>
    <xf numFmtId="0" fontId="16" fillId="24" borderId="36" xfId="0" applyFont="1" applyFill="1" applyBorder="1" applyAlignment="1" applyProtection="1">
      <alignment horizontal="center" vertical="center"/>
      <protection hidden="1"/>
    </xf>
    <xf numFmtId="0" fontId="16" fillId="24" borderId="43" xfId="0" applyFont="1" applyFill="1" applyBorder="1" applyAlignment="1" applyProtection="1">
      <alignment horizontal="center" vertical="center"/>
      <protection hidden="1"/>
    </xf>
    <xf numFmtId="0" fontId="16" fillId="24" borderId="27" xfId="0" applyFont="1" applyFill="1" applyBorder="1" applyAlignment="1" applyProtection="1">
      <alignment horizontal="center" vertical="center"/>
      <protection hidden="1"/>
    </xf>
    <xf numFmtId="0" fontId="16" fillId="24" borderId="42" xfId="0" applyFont="1" applyFill="1" applyBorder="1" applyAlignment="1" applyProtection="1">
      <alignment horizontal="center" vertical="center"/>
      <protection hidden="1"/>
    </xf>
    <xf numFmtId="0" fontId="16" fillId="24" borderId="93" xfId="0" applyFont="1" applyFill="1" applyBorder="1" applyAlignment="1" applyProtection="1">
      <alignment horizontal="center" vertical="center"/>
      <protection hidden="1"/>
    </xf>
    <xf numFmtId="0" fontId="13" fillId="24" borderId="36" xfId="0" applyFont="1" applyFill="1" applyBorder="1" applyAlignment="1" applyProtection="1">
      <alignment horizontal="center" vertical="center"/>
      <protection hidden="1"/>
    </xf>
    <xf numFmtId="0" fontId="22" fillId="24" borderId="34" xfId="0" applyFont="1" applyFill="1" applyBorder="1" applyAlignment="1" applyProtection="1">
      <alignment horizontal="left" vertical="center"/>
      <protection hidden="1"/>
    </xf>
    <xf numFmtId="0" fontId="22" fillId="24" borderId="23" xfId="0" applyFont="1" applyFill="1" applyBorder="1" applyAlignment="1" applyProtection="1">
      <alignment horizontal="left" vertical="center"/>
      <protection hidden="1"/>
    </xf>
    <xf numFmtId="0" fontId="23" fillId="24" borderId="23" xfId="0" applyFont="1" applyFill="1" applyBorder="1" applyAlignment="1" applyProtection="1">
      <alignment horizontal="center"/>
      <protection hidden="1"/>
    </xf>
    <xf numFmtId="0" fontId="23" fillId="24" borderId="39" xfId="0" applyFont="1" applyFill="1" applyBorder="1" applyAlignment="1" applyProtection="1">
      <alignment horizontal="center"/>
      <protection hidden="1"/>
    </xf>
    <xf numFmtId="0" fontId="13" fillId="24" borderId="3" xfId="0" applyFont="1" applyFill="1" applyBorder="1" applyAlignment="1" applyProtection="1">
      <alignment horizontal="left" vertical="center"/>
      <protection hidden="1"/>
    </xf>
    <xf numFmtId="0" fontId="13" fillId="24" borderId="7" xfId="0" applyFont="1" applyFill="1" applyBorder="1" applyAlignment="1" applyProtection="1">
      <alignment horizontal="left" vertical="center"/>
      <protection hidden="1"/>
    </xf>
    <xf numFmtId="0" fontId="13" fillId="24" borderId="7" xfId="0" applyFont="1" applyFill="1" applyBorder="1" applyAlignment="1" applyProtection="1">
      <alignment horizontal="center" vertical="top"/>
      <protection hidden="1"/>
    </xf>
    <xf numFmtId="0" fontId="23" fillId="24" borderId="7" xfId="0" applyFont="1" applyFill="1" applyBorder="1" applyAlignment="1" applyProtection="1">
      <alignment horizontal="center" vertical="top"/>
      <protection hidden="1"/>
    </xf>
    <xf numFmtId="0" fontId="13" fillId="24" borderId="4" xfId="0" applyFont="1" applyFill="1" applyBorder="1" applyAlignment="1" applyProtection="1">
      <alignment vertical="top"/>
      <protection hidden="1"/>
    </xf>
    <xf numFmtId="0" fontId="22" fillId="24" borderId="23" xfId="0" applyFont="1" applyFill="1" applyBorder="1" applyAlignment="1" applyProtection="1">
      <alignment horizontal="left"/>
      <protection hidden="1"/>
    </xf>
    <xf numFmtId="0" fontId="14" fillId="24" borderId="7" xfId="0" applyFont="1" applyFill="1" applyBorder="1" applyAlignment="1" applyProtection="1">
      <alignment horizontal="left" vertical="top"/>
      <protection hidden="1"/>
    </xf>
    <xf numFmtId="0" fontId="13" fillId="24" borderId="4" xfId="0" applyFont="1" applyFill="1" applyBorder="1" applyAlignment="1" applyProtection="1">
      <alignment horizontal="left" vertical="top"/>
      <protection hidden="1"/>
    </xf>
    <xf numFmtId="0" fontId="13" fillId="24" borderId="56" xfId="0" applyFont="1" applyFill="1" applyBorder="1" applyAlignment="1" applyProtection="1">
      <alignment horizontal="center" vertical="center"/>
      <protection hidden="1"/>
    </xf>
    <xf numFmtId="0" fontId="13" fillId="24" borderId="93" xfId="0" applyFont="1" applyFill="1" applyBorder="1" applyAlignment="1" applyProtection="1">
      <alignment horizontal="center" vertical="center"/>
      <protection hidden="1"/>
    </xf>
    <xf numFmtId="0" fontId="14" fillId="24" borderId="7" xfId="0" applyFont="1" applyFill="1" applyBorder="1" applyAlignment="1" applyProtection="1">
      <alignment horizontal="left" vertical="center"/>
      <protection hidden="1"/>
    </xf>
    <xf numFmtId="0" fontId="13" fillId="24" borderId="4" xfId="0" applyFont="1" applyFill="1" applyBorder="1" applyAlignment="1" applyProtection="1">
      <alignment horizontal="center" vertical="top"/>
      <protection hidden="1"/>
    </xf>
    <xf numFmtId="0" fontId="0" fillId="24" borderId="0" xfId="0" applyFill="1" applyProtection="1">
      <protection hidden="1"/>
    </xf>
    <xf numFmtId="0" fontId="14" fillId="24" borderId="23" xfId="0" applyFont="1" applyFill="1" applyBorder="1" applyAlignment="1" applyProtection="1">
      <alignment horizontal="center" vertical="center"/>
      <protection hidden="1"/>
    </xf>
    <xf numFmtId="0" fontId="14" fillId="24" borderId="39" xfId="0" applyFont="1" applyFill="1" applyBorder="1" applyAlignment="1" applyProtection="1">
      <alignment horizontal="center" vertical="center"/>
      <protection hidden="1"/>
    </xf>
    <xf numFmtId="0" fontId="31" fillId="24" borderId="27" xfId="0" applyFont="1" applyFill="1" applyBorder="1" applyAlignment="1" applyProtection="1">
      <alignment horizontal="center" vertical="center"/>
      <protection hidden="1"/>
    </xf>
    <xf numFmtId="0" fontId="31" fillId="24" borderId="41" xfId="0" applyFont="1" applyFill="1" applyBorder="1" applyAlignment="1" applyProtection="1">
      <alignment horizontal="center" vertical="center"/>
      <protection hidden="1"/>
    </xf>
    <xf numFmtId="0" fontId="16" fillId="24" borderId="41" xfId="0" applyFont="1" applyFill="1" applyBorder="1" applyAlignment="1" applyProtection="1">
      <alignment horizontal="center" vertical="center"/>
      <protection hidden="1"/>
    </xf>
    <xf numFmtId="0" fontId="13" fillId="25" borderId="58" xfId="0" applyFont="1" applyFill="1" applyBorder="1" applyAlignment="1">
      <alignment horizontal="center" vertical="center"/>
    </xf>
    <xf numFmtId="0" fontId="13" fillId="25" borderId="55" xfId="0" applyFont="1" applyFill="1" applyBorder="1" applyAlignment="1">
      <alignment horizontal="center" vertical="center"/>
    </xf>
    <xf numFmtId="0" fontId="31" fillId="25" borderId="5" xfId="0" applyFont="1" applyFill="1" applyBorder="1" applyAlignment="1">
      <alignment horizontal="center"/>
    </xf>
    <xf numFmtId="0" fontId="0" fillId="25" borderId="45" xfId="0" applyFill="1" applyBorder="1"/>
    <xf numFmtId="0" fontId="0" fillId="25" borderId="21" xfId="0" applyFill="1" applyBorder="1"/>
    <xf numFmtId="0" fontId="19" fillId="25" borderId="5" xfId="0" applyFont="1" applyFill="1" applyBorder="1" applyAlignment="1" applyProtection="1">
      <alignment horizontal="center" vertical="center" wrapText="1"/>
      <protection hidden="1"/>
    </xf>
    <xf numFmtId="0" fontId="94" fillId="25" borderId="77" xfId="0" applyFont="1" applyFill="1" applyBorder="1" applyAlignment="1" applyProtection="1">
      <alignment horizontal="center" vertical="center" wrapText="1"/>
      <protection hidden="1"/>
    </xf>
    <xf numFmtId="0" fontId="89" fillId="25" borderId="77" xfId="0" applyFont="1" applyFill="1" applyBorder="1" applyAlignment="1" applyProtection="1">
      <alignment horizontal="center" vertical="center" wrapText="1"/>
      <protection hidden="1"/>
    </xf>
    <xf numFmtId="0" fontId="96" fillId="25" borderId="77" xfId="0" applyFont="1" applyFill="1" applyBorder="1" applyAlignment="1" applyProtection="1">
      <alignment horizontal="center" vertical="center" wrapText="1"/>
      <protection hidden="1"/>
    </xf>
    <xf numFmtId="0" fontId="94" fillId="26" borderId="96" xfId="0" applyFont="1" applyFill="1" applyBorder="1" applyAlignment="1" applyProtection="1">
      <alignment horizontal="center" vertical="center"/>
      <protection hidden="1"/>
    </xf>
    <xf numFmtId="0" fontId="89" fillId="26" borderId="96" xfId="0" applyFont="1" applyFill="1" applyBorder="1" applyAlignment="1" applyProtection="1">
      <alignment vertical="center"/>
      <protection hidden="1"/>
    </xf>
    <xf numFmtId="0" fontId="98" fillId="0" borderId="0" xfId="0" applyFont="1"/>
    <xf numFmtId="0" fontId="89" fillId="0" borderId="0" xfId="0" applyFont="1"/>
    <xf numFmtId="0" fontId="99" fillId="0" borderId="0" xfId="0" applyFont="1" applyAlignment="1">
      <alignment vertical="center"/>
    </xf>
    <xf numFmtId="0" fontId="89" fillId="0" borderId="2" xfId="0" applyFont="1" applyBorder="1"/>
    <xf numFmtId="0" fontId="24" fillId="26" borderId="66" xfId="0" applyFont="1" applyFill="1" applyBorder="1" applyAlignment="1">
      <alignment horizontal="center" vertical="center"/>
    </xf>
    <xf numFmtId="0" fontId="24" fillId="26" borderId="80" xfId="0" applyFont="1" applyFill="1" applyBorder="1" applyAlignment="1">
      <alignment horizontal="center" vertical="center"/>
    </xf>
    <xf numFmtId="0" fontId="24" fillId="26" borderId="64" xfId="0" applyFont="1" applyFill="1" applyBorder="1" applyAlignment="1">
      <alignment horizontal="center" vertical="center"/>
    </xf>
    <xf numFmtId="164" fontId="9" fillId="27" borderId="129" xfId="0" applyNumberFormat="1" applyFont="1" applyFill="1" applyBorder="1" applyAlignment="1">
      <alignment horizontal="center"/>
    </xf>
    <xf numFmtId="164" fontId="9" fillId="27" borderId="130" xfId="0" applyNumberFormat="1" applyFont="1" applyFill="1" applyBorder="1" applyAlignment="1">
      <alignment horizontal="center"/>
    </xf>
    <xf numFmtId="164" fontId="9" fillId="27" borderId="133" xfId="0" applyNumberFormat="1" applyFont="1" applyFill="1" applyBorder="1" applyAlignment="1">
      <alignment horizontal="center"/>
    </xf>
    <xf numFmtId="164" fontId="9" fillId="27" borderId="2" xfId="0" applyNumberFormat="1" applyFont="1" applyFill="1" applyBorder="1" applyAlignment="1">
      <alignment horizontal="center"/>
    </xf>
    <xf numFmtId="164" fontId="9" fillId="27" borderId="126" xfId="0" applyNumberFormat="1" applyFont="1" applyFill="1" applyBorder="1" applyAlignment="1">
      <alignment horizontal="center"/>
    </xf>
    <xf numFmtId="164" fontId="9" fillId="27" borderId="131" xfId="0" applyNumberFormat="1" applyFont="1" applyFill="1" applyBorder="1" applyAlignment="1">
      <alignment horizontal="center"/>
    </xf>
    <xf numFmtId="3" fontId="9" fillId="27" borderId="5" xfId="0" applyNumberFormat="1" applyFont="1" applyFill="1" applyBorder="1" applyAlignment="1" applyProtection="1">
      <alignment horizontal="left" vertical="center" wrapText="1"/>
      <protection hidden="1"/>
    </xf>
    <xf numFmtId="3" fontId="9" fillId="27" borderId="5" xfId="0" applyNumberFormat="1" applyFont="1" applyFill="1" applyBorder="1" applyAlignment="1" applyProtection="1">
      <alignment horizontal="center" vertical="center" wrapText="1"/>
      <protection hidden="1"/>
    </xf>
    <xf numFmtId="2" fontId="9" fillId="27" borderId="5" xfId="0" applyNumberFormat="1" applyFont="1" applyFill="1" applyBorder="1" applyAlignment="1" applyProtection="1">
      <alignment horizontal="center" vertical="center" wrapText="1"/>
      <protection hidden="1"/>
    </xf>
    <xf numFmtId="3" fontId="9" fillId="16" borderId="21" xfId="0" applyNumberFormat="1" applyFont="1" applyFill="1" applyBorder="1" applyAlignment="1" applyProtection="1">
      <alignment horizontal="left" vertical="center" wrapText="1"/>
      <protection locked="0"/>
    </xf>
    <xf numFmtId="3" fontId="9" fillId="16" borderId="21" xfId="0" applyNumberFormat="1" applyFont="1" applyFill="1" applyBorder="1" applyAlignment="1" applyProtection="1">
      <alignment horizontal="center" vertical="center" wrapText="1"/>
      <protection locked="0"/>
    </xf>
    <xf numFmtId="2" fontId="9" fillId="16" borderId="21" xfId="0" applyNumberFormat="1" applyFont="1" applyFill="1" applyBorder="1" applyAlignment="1" applyProtection="1">
      <alignment horizontal="center" vertical="center" wrapText="1"/>
      <protection locked="0"/>
    </xf>
    <xf numFmtId="3" fontId="9" fillId="27" borderId="134" xfId="0" applyNumberFormat="1" applyFont="1" applyFill="1" applyBorder="1" applyAlignment="1" applyProtection="1">
      <alignment horizontal="left" vertical="center" wrapText="1"/>
      <protection hidden="1"/>
    </xf>
    <xf numFmtId="3" fontId="9" fillId="27" borderId="134" xfId="0" applyNumberFormat="1" applyFont="1" applyFill="1" applyBorder="1" applyAlignment="1" applyProtection="1">
      <alignment horizontal="center" vertical="center" wrapText="1"/>
      <protection hidden="1"/>
    </xf>
    <xf numFmtId="2" fontId="9" fillId="27" borderId="134" xfId="0" applyNumberFormat="1" applyFont="1" applyFill="1" applyBorder="1" applyAlignment="1" applyProtection="1">
      <alignment horizontal="center" vertical="center" wrapText="1"/>
      <protection hidden="1"/>
    </xf>
    <xf numFmtId="3" fontId="9" fillId="27" borderId="135" xfId="0" applyNumberFormat="1" applyFont="1" applyFill="1" applyBorder="1" applyAlignment="1" applyProtection="1">
      <alignment horizontal="left" vertical="center" wrapText="1"/>
      <protection hidden="1"/>
    </xf>
    <xf numFmtId="3" fontId="9" fillId="27" borderId="135" xfId="0" applyNumberFormat="1" applyFont="1" applyFill="1" applyBorder="1" applyAlignment="1" applyProtection="1">
      <alignment horizontal="center" vertical="center" wrapText="1"/>
      <protection hidden="1"/>
    </xf>
    <xf numFmtId="2" fontId="9" fillId="27" borderId="135" xfId="0" applyNumberFormat="1" applyFont="1" applyFill="1" applyBorder="1" applyAlignment="1" applyProtection="1">
      <alignment horizontal="center" vertical="center" wrapText="1"/>
      <protection hidden="1"/>
    </xf>
    <xf numFmtId="3" fontId="9" fillId="16" borderId="134" xfId="0" applyNumberFormat="1" applyFont="1" applyFill="1" applyBorder="1" applyAlignment="1" applyProtection="1">
      <alignment horizontal="left" vertical="center" wrapText="1"/>
      <protection locked="0"/>
    </xf>
    <xf numFmtId="3" fontId="9" fillId="16" borderId="134" xfId="0" applyNumberFormat="1" applyFont="1" applyFill="1" applyBorder="1" applyAlignment="1" applyProtection="1">
      <alignment horizontal="center" vertical="center" wrapText="1"/>
      <protection locked="0"/>
    </xf>
    <xf numFmtId="2" fontId="9" fillId="16" borderId="134" xfId="0" applyNumberFormat="1" applyFont="1" applyFill="1" applyBorder="1" applyAlignment="1" applyProtection="1">
      <alignment horizontal="center" vertical="center" wrapText="1"/>
      <protection locked="0"/>
    </xf>
    <xf numFmtId="2" fontId="2" fillId="16" borderId="134" xfId="0" applyNumberFormat="1" applyFont="1" applyFill="1" applyBorder="1" applyAlignment="1" applyProtection="1">
      <alignment horizontal="center" vertical="center"/>
      <protection locked="0"/>
    </xf>
    <xf numFmtId="0" fontId="13" fillId="24" borderId="3" xfId="0" applyFont="1" applyFill="1" applyBorder="1" applyAlignment="1" applyProtection="1">
      <alignment horizontal="left" vertical="top"/>
      <protection hidden="1"/>
    </xf>
    <xf numFmtId="0" fontId="22" fillId="24" borderId="34" xfId="0" applyFont="1" applyFill="1" applyBorder="1" applyAlignment="1" applyProtection="1">
      <alignment horizontal="left"/>
      <protection hidden="1"/>
    </xf>
    <xf numFmtId="0" fontId="23" fillId="25" borderId="58" xfId="0" applyFont="1" applyFill="1" applyBorder="1" applyAlignment="1">
      <alignment horizontal="center" vertical="justify"/>
    </xf>
    <xf numFmtId="0" fontId="23" fillId="25" borderId="55" xfId="0" applyFont="1" applyFill="1" applyBorder="1" applyAlignment="1">
      <alignment horizontal="center" vertical="justify"/>
    </xf>
    <xf numFmtId="0" fontId="7" fillId="27" borderId="0" xfId="0" applyFont="1" applyFill="1" applyAlignment="1">
      <alignment horizontal="center"/>
    </xf>
    <xf numFmtId="0" fontId="7" fillId="27" borderId="127" xfId="0" applyFont="1" applyFill="1" applyBorder="1" applyAlignment="1">
      <alignment horizontal="center"/>
    </xf>
    <xf numFmtId="16" fontId="7" fillId="27" borderId="127" xfId="0" quotePrefix="1" applyNumberFormat="1" applyFont="1" applyFill="1" applyBorder="1" applyAlignment="1">
      <alignment horizontal="center"/>
    </xf>
    <xf numFmtId="0" fontId="7" fillId="27" borderId="127" xfId="0" quotePrefix="1" applyFont="1" applyFill="1" applyBorder="1" applyAlignment="1">
      <alignment horizontal="center"/>
    </xf>
    <xf numFmtId="0" fontId="7" fillId="27" borderId="132" xfId="0" applyFont="1" applyFill="1" applyBorder="1" applyAlignment="1">
      <alignment horizontal="center"/>
    </xf>
    <xf numFmtId="0" fontId="7" fillId="27" borderId="129" xfId="0" applyFont="1" applyFill="1" applyBorder="1" applyAlignment="1">
      <alignment horizontal="center"/>
    </xf>
    <xf numFmtId="0" fontId="7" fillId="27" borderId="130" xfId="0" applyFont="1" applyFill="1" applyBorder="1" applyAlignment="1">
      <alignment horizontal="center"/>
    </xf>
    <xf numFmtId="0" fontId="7" fillId="27" borderId="133" xfId="0" quotePrefix="1" applyFont="1" applyFill="1" applyBorder="1" applyAlignment="1">
      <alignment horizontal="left"/>
    </xf>
    <xf numFmtId="0" fontId="7" fillId="0" borderId="0" xfId="0" applyFont="1" applyAlignment="1" applyProtection="1">
      <alignment vertical="center"/>
      <protection hidden="1"/>
    </xf>
    <xf numFmtId="0" fontId="2" fillId="28" borderId="19" xfId="0" applyFont="1" applyFill="1" applyBorder="1" applyAlignment="1" applyProtection="1">
      <alignment horizontal="center" vertical="center"/>
      <protection hidden="1"/>
    </xf>
    <xf numFmtId="0" fontId="0" fillId="28" borderId="19" xfId="0" applyFill="1" applyBorder="1" applyAlignment="1" applyProtection="1">
      <alignment horizontal="center" vertical="center"/>
      <protection hidden="1"/>
    </xf>
    <xf numFmtId="0" fontId="0" fillId="28" borderId="111" xfId="0" applyFill="1" applyBorder="1" applyAlignment="1" applyProtection="1">
      <alignment horizontal="center" vertical="center"/>
      <protection hidden="1"/>
    </xf>
    <xf numFmtId="4" fontId="9" fillId="29" borderId="0" xfId="0" applyNumberFormat="1" applyFont="1" applyFill="1" applyAlignment="1" applyProtection="1">
      <alignment horizontal="center" vertical="center"/>
      <protection hidden="1"/>
    </xf>
    <xf numFmtId="0" fontId="13" fillId="24" borderId="43" xfId="0" applyFont="1" applyFill="1" applyBorder="1" applyAlignment="1" applyProtection="1">
      <alignment horizontal="center" vertical="center"/>
      <protection hidden="1"/>
    </xf>
    <xf numFmtId="0" fontId="5" fillId="11" borderId="43" xfId="0" applyFont="1" applyFill="1" applyBorder="1" applyAlignment="1" applyProtection="1">
      <alignment horizontal="center" vertical="center"/>
      <protection hidden="1"/>
    </xf>
    <xf numFmtId="4" fontId="5" fillId="17" borderId="53" xfId="0" applyNumberFormat="1" applyFont="1" applyFill="1" applyBorder="1" applyAlignment="1" applyProtection="1">
      <alignment vertical="center"/>
      <protection hidden="1"/>
    </xf>
    <xf numFmtId="0" fontId="9" fillId="11" borderId="37" xfId="0" applyFont="1" applyFill="1" applyBorder="1" applyAlignment="1" applyProtection="1">
      <alignment horizontal="center" vertical="center"/>
      <protection hidden="1"/>
    </xf>
    <xf numFmtId="4" fontId="5" fillId="17" borderId="21" xfId="0" applyNumberFormat="1" applyFont="1" applyFill="1" applyBorder="1" applyAlignment="1" applyProtection="1">
      <alignment vertical="center"/>
      <protection hidden="1"/>
    </xf>
    <xf numFmtId="4" fontId="5" fillId="17" borderId="19" xfId="0" applyNumberFormat="1" applyFont="1" applyFill="1" applyBorder="1" applyAlignment="1" applyProtection="1">
      <alignment vertical="center"/>
      <protection hidden="1"/>
    </xf>
    <xf numFmtId="1" fontId="9" fillId="19" borderId="14" xfId="0" applyNumberFormat="1" applyFont="1" applyFill="1" applyBorder="1" applyAlignment="1" applyProtection="1">
      <alignment horizontal="center" vertical="center"/>
      <protection locked="0"/>
    </xf>
    <xf numFmtId="1" fontId="9" fillId="19" borderId="26" xfId="0" applyNumberFormat="1" applyFont="1" applyFill="1" applyBorder="1" applyAlignment="1" applyProtection="1">
      <alignment horizontal="center" vertical="center"/>
      <protection locked="0"/>
    </xf>
    <xf numFmtId="2" fontId="1" fillId="19" borderId="6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hidden="1"/>
    </xf>
    <xf numFmtId="12" fontId="2" fillId="18" borderId="26" xfId="0" applyNumberFormat="1" applyFont="1" applyFill="1" applyBorder="1" applyAlignment="1" applyProtection="1">
      <alignment horizontal="center" vertical="center"/>
      <protection hidden="1"/>
    </xf>
    <xf numFmtId="0" fontId="100" fillId="0" borderId="45" xfId="0" applyFont="1" applyBorder="1" applyAlignment="1" applyProtection="1">
      <alignment horizontal="right" vertical="center"/>
      <protection hidden="1"/>
    </xf>
    <xf numFmtId="0" fontId="100" fillId="5" borderId="45" xfId="0" applyFont="1" applyFill="1" applyBorder="1" applyAlignment="1" applyProtection="1">
      <alignment horizontal="right" vertical="center"/>
      <protection hidden="1"/>
    </xf>
    <xf numFmtId="0" fontId="101" fillId="0" borderId="70" xfId="0" applyFont="1" applyBorder="1" applyAlignment="1" applyProtection="1">
      <alignment horizontal="right" vertical="center" wrapText="1"/>
      <protection hidden="1"/>
    </xf>
    <xf numFmtId="0" fontId="101" fillId="0" borderId="55" xfId="0" applyFont="1" applyBorder="1" applyAlignment="1" applyProtection="1">
      <alignment horizontal="right" vertical="center" wrapText="1"/>
      <protection hidden="1"/>
    </xf>
    <xf numFmtId="0" fontId="101" fillId="0" borderId="121" xfId="0" applyFont="1" applyBorder="1" applyAlignment="1" applyProtection="1">
      <alignment horizontal="right" vertical="center" wrapText="1"/>
      <protection hidden="1"/>
    </xf>
    <xf numFmtId="12" fontId="9" fillId="0" borderId="0" xfId="0" applyNumberFormat="1" applyFont="1" applyAlignment="1" applyProtection="1">
      <alignment vertical="center"/>
      <protection hidden="1"/>
    </xf>
    <xf numFmtId="0" fontId="0" fillId="0" borderId="0" xfId="0"/>
    <xf numFmtId="0" fontId="9" fillId="0" borderId="0" xfId="0" applyFont="1" applyProtection="1">
      <protection hidden="1"/>
    </xf>
    <xf numFmtId="2" fontId="2" fillId="17" borderId="35" xfId="0" applyNumberFormat="1" applyFont="1" applyFill="1" applyBorder="1" applyAlignment="1" applyProtection="1">
      <alignment horizontal="center" vertical="center"/>
      <protection hidden="1"/>
    </xf>
    <xf numFmtId="0" fontId="0" fillId="17" borderId="24" xfId="0" applyFill="1" applyBorder="1" applyAlignment="1">
      <alignment vertical="center"/>
    </xf>
    <xf numFmtId="0" fontId="0" fillId="17" borderId="92" xfId="0" applyFill="1" applyBorder="1" applyAlignment="1">
      <alignment vertical="center"/>
    </xf>
    <xf numFmtId="0" fontId="23" fillId="24" borderId="34" xfId="0" applyFont="1" applyFill="1" applyBorder="1" applyAlignment="1" applyProtection="1">
      <alignment horizontal="center" vertical="center"/>
      <protection hidden="1"/>
    </xf>
    <xf numFmtId="0" fontId="23" fillId="24" borderId="23" xfId="0" applyFont="1" applyFill="1" applyBorder="1" applyAlignment="1" applyProtection="1">
      <alignment horizontal="center" vertical="center"/>
      <protection hidden="1"/>
    </xf>
    <xf numFmtId="0" fontId="63" fillId="24" borderId="23" xfId="0" applyFont="1" applyFill="1" applyBorder="1" applyAlignment="1" applyProtection="1">
      <alignment horizontal="center" vertical="center"/>
      <protection hidden="1"/>
    </xf>
    <xf numFmtId="0" fontId="0" fillId="24" borderId="56" xfId="0" applyFill="1" applyBorder="1" applyAlignment="1">
      <alignment vertical="center"/>
    </xf>
    <xf numFmtId="0" fontId="13" fillId="24" borderId="43" xfId="0" applyFont="1" applyFill="1" applyBorder="1" applyAlignment="1" applyProtection="1">
      <alignment horizontal="center" vertical="center"/>
      <protection hidden="1"/>
    </xf>
    <xf numFmtId="0" fontId="0" fillId="24" borderId="27" xfId="0" applyFill="1" applyBorder="1" applyAlignment="1">
      <alignment vertical="center"/>
    </xf>
    <xf numFmtId="0" fontId="0" fillId="24" borderId="93" xfId="0" applyFill="1" applyBorder="1" applyAlignment="1">
      <alignment vertical="center"/>
    </xf>
    <xf numFmtId="0" fontId="5" fillId="11" borderId="67" xfId="0" applyFont="1" applyFill="1" applyBorder="1" applyAlignment="1" applyProtection="1">
      <alignment horizontal="center" vertical="center"/>
      <protection hidden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4" fontId="5" fillId="17" borderId="35" xfId="0" applyNumberFormat="1" applyFont="1" applyFill="1" applyBorder="1" applyAlignment="1" applyProtection="1">
      <alignment vertical="center"/>
      <protection hidden="1"/>
    </xf>
    <xf numFmtId="4" fontId="5" fillId="17" borderId="92" xfId="0" applyNumberFormat="1" applyFont="1" applyFill="1" applyBorder="1" applyAlignment="1" applyProtection="1">
      <alignment vertical="center"/>
      <protection hidden="1"/>
    </xf>
    <xf numFmtId="2" fontId="2" fillId="17" borderId="24" xfId="0" applyNumberFormat="1" applyFont="1" applyFill="1" applyBorder="1" applyAlignment="1" applyProtection="1">
      <alignment horizontal="center" vertical="center"/>
      <protection hidden="1"/>
    </xf>
    <xf numFmtId="0" fontId="0" fillId="17" borderId="13" xfId="0" applyFill="1" applyBorder="1" applyAlignment="1" applyProtection="1">
      <alignment vertical="center"/>
      <protection hidden="1"/>
    </xf>
    <xf numFmtId="0" fontId="11" fillId="16" borderId="0" xfId="0" applyFont="1" applyFill="1" applyAlignment="1" applyProtection="1">
      <alignment horizontal="left" vertical="center"/>
      <protection locked="0"/>
    </xf>
    <xf numFmtId="0" fontId="13" fillId="24" borderId="27" xfId="0" applyFont="1" applyFill="1" applyBorder="1" applyAlignment="1" applyProtection="1">
      <alignment horizontal="center" vertical="center"/>
      <protection hidden="1"/>
    </xf>
    <xf numFmtId="0" fontId="31" fillId="24" borderId="41" xfId="0" applyFont="1" applyFill="1" applyBorder="1" applyAlignment="1" applyProtection="1">
      <alignment horizontal="center" vertical="center"/>
      <protection hidden="1"/>
    </xf>
    <xf numFmtId="169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11" borderId="50" xfId="0" applyFont="1" applyFill="1" applyBorder="1" applyAlignment="1" applyProtection="1">
      <alignment horizontal="center" vertical="center"/>
      <protection hidden="1"/>
    </xf>
    <xf numFmtId="0" fontId="5" fillId="11" borderId="106" xfId="0" applyFont="1" applyFill="1" applyBorder="1" applyAlignment="1" applyProtection="1">
      <alignment horizontal="center" vertical="center"/>
      <protection hidden="1"/>
    </xf>
    <xf numFmtId="0" fontId="5" fillId="11" borderId="60" xfId="0" applyFont="1" applyFill="1" applyBorder="1" applyAlignment="1" applyProtection="1">
      <alignment horizontal="center" vertical="center"/>
      <protection hidden="1"/>
    </xf>
    <xf numFmtId="0" fontId="13" fillId="24" borderId="93" xfId="0" applyFont="1" applyFill="1" applyBorder="1" applyAlignment="1" applyProtection="1">
      <alignment horizontal="center" vertical="center"/>
      <protection hidden="1"/>
    </xf>
    <xf numFmtId="0" fontId="24" fillId="23" borderId="7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0" fillId="23" borderId="7" xfId="0" applyFill="1" applyBorder="1" applyAlignment="1">
      <alignment horizontal="center" vertical="center"/>
    </xf>
    <xf numFmtId="0" fontId="5" fillId="11" borderId="7" xfId="0" applyFont="1" applyFill="1" applyBorder="1" applyAlignment="1" applyProtection="1">
      <alignment horizontal="center" vertical="center"/>
      <protection hidden="1"/>
    </xf>
    <xf numFmtId="0" fontId="5" fillId="11" borderId="4" xfId="0" applyFont="1" applyFill="1" applyBorder="1" applyAlignment="1" applyProtection="1">
      <alignment horizontal="center" vertical="center"/>
      <protection hidden="1"/>
    </xf>
    <xf numFmtId="0" fontId="5" fillId="11" borderId="40" xfId="0" applyFont="1" applyFill="1" applyBorder="1" applyAlignment="1" applyProtection="1">
      <alignment horizontal="center" vertical="center"/>
      <protection hidden="1"/>
    </xf>
    <xf numFmtId="0" fontId="11" fillId="0" borderId="23" xfId="0" applyFont="1" applyBorder="1" applyAlignment="1" applyProtection="1">
      <alignment horizontal="right" vertical="center"/>
      <protection hidden="1"/>
    </xf>
    <xf numFmtId="0" fontId="11" fillId="0" borderId="23" xfId="0" applyFont="1" applyBorder="1" applyAlignment="1">
      <alignment horizontal="right" vertical="center"/>
    </xf>
    <xf numFmtId="0" fontId="11" fillId="0" borderId="137" xfId="0" applyFont="1" applyBorder="1" applyAlignment="1" applyProtection="1">
      <alignment horizontal="center" vertical="center"/>
      <protection hidden="1"/>
    </xf>
    <xf numFmtId="0" fontId="11" fillId="0" borderId="138" xfId="0" applyFont="1" applyBorder="1" applyAlignment="1">
      <alignment horizontal="center" vertical="center"/>
    </xf>
    <xf numFmtId="0" fontId="11" fillId="0" borderId="139" xfId="0" applyFont="1" applyBorder="1" applyAlignment="1">
      <alignment horizontal="center" vertical="center"/>
    </xf>
    <xf numFmtId="14" fontId="11" fillId="16" borderId="0" xfId="0" applyNumberFormat="1" applyFont="1" applyFill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23" fillId="24" borderId="1" xfId="0" applyFont="1" applyFill="1" applyBorder="1" applyAlignment="1" applyProtection="1">
      <alignment horizontal="center" vertical="center"/>
      <protection hidden="1"/>
    </xf>
    <xf numFmtId="0" fontId="31" fillId="24" borderId="23" xfId="0" applyFont="1" applyFill="1" applyBorder="1" applyAlignment="1" applyProtection="1">
      <alignment vertical="center"/>
      <protection hidden="1"/>
    </xf>
    <xf numFmtId="0" fontId="31" fillId="24" borderId="39" xfId="0" applyFont="1" applyFill="1" applyBorder="1" applyAlignment="1" applyProtection="1">
      <alignment vertical="center"/>
      <protection hidden="1"/>
    </xf>
    <xf numFmtId="169" fontId="3" fillId="0" borderId="23" xfId="0" applyNumberFormat="1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0" fillId="24" borderId="23" xfId="0" applyFill="1" applyBorder="1" applyAlignment="1">
      <alignment horizontal="center" vertical="center"/>
    </xf>
    <xf numFmtId="0" fontId="0" fillId="24" borderId="39" xfId="0" applyFill="1" applyBorder="1" applyAlignment="1">
      <alignment horizontal="center" vertical="center"/>
    </xf>
    <xf numFmtId="0" fontId="67" fillId="24" borderId="23" xfId="0" applyFont="1" applyFill="1" applyBorder="1" applyAlignment="1" applyProtection="1">
      <alignment horizontal="center" vertical="center"/>
      <protection hidden="1"/>
    </xf>
    <xf numFmtId="0" fontId="67" fillId="24" borderId="39" xfId="0" applyFont="1" applyFill="1" applyBorder="1" applyAlignment="1" applyProtection="1">
      <alignment horizontal="center" vertical="center"/>
      <protection hidden="1"/>
    </xf>
    <xf numFmtId="0" fontId="0" fillId="0" borderId="2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4" fontId="9" fillId="0" borderId="34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3" xfId="0" applyFont="1" applyBorder="1" applyAlignment="1" applyProtection="1">
      <alignment horizontal="center" vertical="center" textRotation="90" wrapText="1"/>
      <protection hidden="1"/>
    </xf>
    <xf numFmtId="0" fontId="13" fillId="24" borderId="36" xfId="0" applyFont="1" applyFill="1" applyBorder="1" applyAlignment="1" applyProtection="1">
      <alignment horizontal="center" vertical="center"/>
      <protection hidden="1"/>
    </xf>
    <xf numFmtId="0" fontId="31" fillId="24" borderId="27" xfId="0" applyFont="1" applyFill="1" applyBorder="1" applyAlignment="1" applyProtection="1">
      <alignment vertical="center"/>
      <protection hidden="1"/>
    </xf>
    <xf numFmtId="0" fontId="31" fillId="24" borderId="41" xfId="0" applyFont="1" applyFill="1" applyBorder="1" applyAlignment="1" applyProtection="1">
      <alignment vertical="center"/>
      <protection hidden="1"/>
    </xf>
    <xf numFmtId="0" fontId="16" fillId="24" borderId="43" xfId="0" applyFont="1" applyFill="1" applyBorder="1" applyAlignment="1" applyProtection="1">
      <alignment horizontal="center" vertical="center"/>
      <protection hidden="1"/>
    </xf>
    <xf numFmtId="0" fontId="13" fillId="24" borderId="41" xfId="0" applyFont="1" applyFill="1" applyBorder="1" applyAlignment="1" applyProtection="1">
      <alignment horizontal="center" vertical="center"/>
      <protection hidden="1"/>
    </xf>
    <xf numFmtId="0" fontId="18" fillId="0" borderId="6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vertical="center"/>
      <protection hidden="1"/>
    </xf>
    <xf numFmtId="0" fontId="24" fillId="0" borderId="7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24" fillId="23" borderId="24" xfId="0" applyFont="1" applyFill="1" applyBorder="1" applyAlignment="1" applyProtection="1">
      <alignment horizontal="center" vertical="center"/>
      <protection hidden="1"/>
    </xf>
    <xf numFmtId="0" fontId="0" fillId="23" borderId="24" xfId="0" applyFill="1" applyBorder="1" applyAlignment="1">
      <alignment horizontal="center" vertical="center"/>
    </xf>
    <xf numFmtId="0" fontId="5" fillId="23" borderId="24" xfId="0" applyFont="1" applyFill="1" applyBorder="1" applyAlignment="1" applyProtection="1">
      <alignment horizontal="center" vertical="center"/>
      <protection hidden="1"/>
    </xf>
    <xf numFmtId="12" fontId="71" fillId="0" borderId="0" xfId="0" applyNumberFormat="1" applyFont="1" applyProtection="1">
      <protection hidden="1"/>
    </xf>
    <xf numFmtId="0" fontId="3" fillId="0" borderId="39" xfId="0" applyFont="1" applyBorder="1" applyAlignment="1" applyProtection="1">
      <alignment horizontal="center" vertical="center"/>
      <protection hidden="1"/>
    </xf>
    <xf numFmtId="0" fontId="63" fillId="24" borderId="39" xfId="0" applyFont="1" applyFill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5" fillId="23" borderId="13" xfId="0" applyFont="1" applyFill="1" applyBorder="1" applyAlignment="1" applyProtection="1">
      <alignment horizontal="center" vertical="center"/>
      <protection hidden="1"/>
    </xf>
    <xf numFmtId="0" fontId="11" fillId="28" borderId="0" xfId="0" applyFont="1" applyFill="1" applyAlignment="1" applyProtection="1">
      <alignment horizontal="left" vertical="center"/>
      <protection hidden="1"/>
    </xf>
    <xf numFmtId="14" fontId="11" fillId="28" borderId="0" xfId="0" applyNumberFormat="1" applyFont="1" applyFill="1" applyAlignment="1" applyProtection="1">
      <alignment horizontal="center" vertical="center"/>
      <protection hidden="1"/>
    </xf>
    <xf numFmtId="0" fontId="0" fillId="28" borderId="0" xfId="0" applyFill="1" applyAlignment="1">
      <alignment horizontal="center" vertical="center"/>
    </xf>
    <xf numFmtId="0" fontId="5" fillId="24" borderId="41" xfId="0" applyFont="1" applyFill="1" applyBorder="1" applyAlignment="1">
      <alignment horizontal="center" vertical="center"/>
    </xf>
    <xf numFmtId="0" fontId="103" fillId="24" borderId="34" xfId="0" applyFont="1" applyFill="1" applyBorder="1" applyAlignment="1" applyProtection="1">
      <alignment horizontal="left" vertical="center"/>
      <protection hidden="1"/>
    </xf>
    <xf numFmtId="0" fontId="0" fillId="0" borderId="23" xfId="0" applyBorder="1" applyAlignment="1">
      <alignment vertical="center"/>
    </xf>
    <xf numFmtId="0" fontId="0" fillId="0" borderId="39" xfId="0" applyBorder="1" applyAlignment="1">
      <alignment vertical="center"/>
    </xf>
    <xf numFmtId="0" fontId="9" fillId="11" borderId="106" xfId="0" applyFont="1" applyFill="1" applyBorder="1" applyAlignment="1" applyProtection="1">
      <alignment horizontal="center" vertical="center"/>
      <protection hidden="1"/>
    </xf>
    <xf numFmtId="0" fontId="9" fillId="0" borderId="40" xfId="0" applyFont="1" applyBorder="1" applyAlignment="1">
      <alignment horizontal="center"/>
    </xf>
    <xf numFmtId="164" fontId="8" fillId="0" borderId="5" xfId="0" applyNumberFormat="1" applyFont="1" applyBorder="1" applyAlignment="1" applyProtection="1">
      <alignment horizontal="center" vertical="center" textRotation="90" wrapText="1"/>
      <protection hidden="1"/>
    </xf>
    <xf numFmtId="0" fontId="8" fillId="0" borderId="45" xfId="0" applyFont="1" applyBorder="1" applyAlignment="1" applyProtection="1">
      <alignment horizontal="center" vertical="center" textRotation="90" wrapText="1"/>
      <protection hidden="1"/>
    </xf>
    <xf numFmtId="0" fontId="8" fillId="0" borderId="21" xfId="0" applyFont="1" applyBorder="1" applyAlignment="1" applyProtection="1">
      <alignment horizontal="center" vertical="center" textRotation="90" wrapText="1"/>
      <protection hidden="1"/>
    </xf>
    <xf numFmtId="0" fontId="13" fillId="25" borderId="0" xfId="0" applyFont="1" applyFill="1" applyAlignment="1">
      <alignment horizontal="center" vertical="center"/>
    </xf>
    <xf numFmtId="0" fontId="13" fillId="25" borderId="2" xfId="0" applyFont="1" applyFill="1" applyBorder="1" applyAlignment="1">
      <alignment horizontal="center" vertical="center"/>
    </xf>
    <xf numFmtId="0" fontId="1" fillId="16" borderId="136" xfId="0" applyFont="1" applyFill="1" applyBorder="1" applyAlignment="1" applyProtection="1">
      <alignment vertical="center"/>
      <protection locked="0"/>
    </xf>
    <xf numFmtId="0" fontId="0" fillId="16" borderId="127" xfId="0" applyFill="1" applyBorder="1" applyAlignment="1" applyProtection="1">
      <alignment vertical="center"/>
      <protection locked="0"/>
    </xf>
    <xf numFmtId="0" fontId="0" fillId="16" borderId="126" xfId="0" applyFill="1" applyBorder="1" applyAlignment="1" applyProtection="1">
      <alignment vertical="center"/>
      <protection locked="0"/>
    </xf>
    <xf numFmtId="0" fontId="0" fillId="16" borderId="136" xfId="0" applyFill="1" applyBorder="1" applyAlignment="1" applyProtection="1">
      <alignment vertical="center"/>
      <protection locked="0"/>
    </xf>
    <xf numFmtId="0" fontId="0" fillId="16" borderId="128" xfId="0" applyFill="1" applyBorder="1" applyAlignment="1" applyProtection="1">
      <alignment vertical="center"/>
      <protection locked="0"/>
    </xf>
    <xf numFmtId="0" fontId="0" fillId="16" borderId="134" xfId="0" applyFill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9" fillId="4" borderId="2" xfId="0" applyFont="1" applyFill="1" applyBorder="1" applyAlignment="1">
      <alignment horizontal="left" vertical="center" wrapText="1" indent="1"/>
    </xf>
    <xf numFmtId="0" fontId="0" fillId="4" borderId="2" xfId="0" applyFill="1" applyBorder="1" applyAlignment="1">
      <alignment horizontal="left" vertical="center" wrapText="1" indent="1"/>
    </xf>
    <xf numFmtId="0" fontId="24" fillId="15" borderId="75" xfId="0" applyFont="1" applyFill="1" applyBorder="1" applyAlignment="1">
      <alignment horizontal="center" vertical="center"/>
    </xf>
    <xf numFmtId="0" fontId="14" fillId="15" borderId="45" xfId="0" applyFont="1" applyFill="1" applyBorder="1" applyAlignment="1">
      <alignment horizontal="center" vertical="center"/>
    </xf>
    <xf numFmtId="0" fontId="9" fillId="4" borderId="75" xfId="0" applyFont="1" applyFill="1" applyBorder="1" applyAlignment="1">
      <alignment horizontal="left" vertical="center" wrapText="1" indent="1"/>
    </xf>
    <xf numFmtId="0" fontId="0" fillId="4" borderId="45" xfId="0" applyFill="1" applyBorder="1" applyAlignment="1">
      <alignment horizontal="left" vertical="center" wrapText="1" indent="1"/>
    </xf>
    <xf numFmtId="0" fontId="5" fillId="4" borderId="24" xfId="0" applyFont="1" applyFill="1" applyBorder="1" applyAlignment="1">
      <alignment horizontal="justify" vertical="center" wrapText="1"/>
    </xf>
    <xf numFmtId="0" fontId="5" fillId="4" borderId="24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37" fillId="4" borderId="6" xfId="0" applyFont="1" applyFill="1" applyBorder="1" applyAlignment="1">
      <alignment horizontal="left" vertical="center" wrapText="1" indent="1"/>
    </xf>
    <xf numFmtId="0" fontId="0" fillId="4" borderId="24" xfId="0" applyFill="1" applyBorder="1" applyAlignment="1">
      <alignment horizontal="left" vertical="center" indent="1"/>
    </xf>
    <xf numFmtId="0" fontId="0" fillId="4" borderId="13" xfId="0" applyFill="1" applyBorder="1" applyAlignment="1">
      <alignment horizontal="left" vertical="center" indent="1"/>
    </xf>
    <xf numFmtId="0" fontId="37" fillId="4" borderId="113" xfId="0" applyFont="1" applyFill="1" applyBorder="1" applyAlignment="1">
      <alignment horizontal="left" vertical="center" wrapText="1" indent="1"/>
    </xf>
    <xf numFmtId="0" fontId="0" fillId="4" borderId="78" xfId="0" applyFill="1" applyBorder="1" applyAlignment="1">
      <alignment horizontal="left" wrapText="1" indent="1"/>
    </xf>
    <xf numFmtId="0" fontId="37" fillId="4" borderId="3" xfId="0" applyFont="1" applyFill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indent="1"/>
    </xf>
    <xf numFmtId="0" fontId="9" fillId="4" borderId="39" xfId="0" applyFont="1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left" vertical="center" wrapText="1"/>
    </xf>
    <xf numFmtId="0" fontId="0" fillId="0" borderId="4" xfId="0" applyBorder="1"/>
    <xf numFmtId="0" fontId="37" fillId="4" borderId="34" xfId="0" applyFont="1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/>
    </xf>
    <xf numFmtId="0" fontId="0" fillId="4" borderId="39" xfId="0" applyFill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37" fillId="4" borderId="1" xfId="0" applyFont="1" applyFill="1" applyBorder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9" fillId="4" borderId="2" xfId="0" applyFont="1" applyFill="1" applyBorder="1" applyAlignment="1">
      <alignment horizontal="left" vertical="top" wrapText="1" indent="1"/>
    </xf>
    <xf numFmtId="0" fontId="37" fillId="4" borderId="3" xfId="0" applyFont="1" applyFill="1" applyBorder="1" applyAlignment="1">
      <alignment horizontal="left" vertical="top" wrapText="1" indent="1"/>
    </xf>
    <xf numFmtId="0" fontId="0" fillId="4" borderId="7" xfId="0" applyFill="1" applyBorder="1" applyAlignment="1">
      <alignment horizontal="left" vertical="top" wrapText="1" indent="1"/>
    </xf>
    <xf numFmtId="0" fontId="8" fillId="4" borderId="79" xfId="0" applyFont="1" applyFill="1" applyBorder="1" applyAlignment="1">
      <alignment horizontal="left" vertical="justify" indent="1"/>
    </xf>
    <xf numFmtId="0" fontId="0" fillId="4" borderId="61" xfId="0" applyFill="1" applyBorder="1" applyAlignment="1">
      <alignment horizontal="left" vertical="justify" indent="1"/>
    </xf>
    <xf numFmtId="0" fontId="9" fillId="4" borderId="7" xfId="0" applyFont="1" applyFill="1" applyBorder="1" applyAlignment="1">
      <alignment vertical="center" wrapText="1"/>
    </xf>
    <xf numFmtId="0" fontId="9" fillId="4" borderId="7" xfId="0" applyFont="1" applyFill="1" applyBorder="1"/>
    <xf numFmtId="0" fontId="9" fillId="4" borderId="4" xfId="0" applyFont="1" applyFill="1" applyBorder="1"/>
    <xf numFmtId="0" fontId="37" fillId="4" borderId="79" xfId="0" applyFont="1" applyFill="1" applyBorder="1" applyAlignment="1">
      <alignment horizontal="left" vertical="center" wrapText="1" indent="1"/>
    </xf>
    <xf numFmtId="0" fontId="0" fillId="4" borderId="61" xfId="0" applyFill="1" applyBorder="1" applyAlignment="1">
      <alignment horizontal="left" wrapText="1" indent="1"/>
    </xf>
    <xf numFmtId="0" fontId="0" fillId="4" borderId="40" xfId="0" applyFill="1" applyBorder="1" applyAlignment="1">
      <alignment horizontal="left" wrapText="1" indent="1"/>
    </xf>
    <xf numFmtId="0" fontId="37" fillId="4" borderId="36" xfId="0" applyFont="1" applyFill="1" applyBorder="1" applyAlignment="1">
      <alignment horizontal="left" vertical="center" wrapText="1" indent="1"/>
    </xf>
    <xf numFmtId="0" fontId="0" fillId="4" borderId="27" xfId="0" applyFill="1" applyBorder="1" applyAlignment="1">
      <alignment horizontal="left" wrapText="1" indent="1"/>
    </xf>
    <xf numFmtId="0" fontId="0" fillId="4" borderId="41" xfId="0" applyFill="1" applyBorder="1" applyAlignment="1">
      <alignment horizontal="left" wrapText="1" indent="1"/>
    </xf>
    <xf numFmtId="0" fontId="0" fillId="0" borderId="61" xfId="0" applyBorder="1" applyAlignment="1">
      <alignment horizontal="left" wrapText="1" indent="1"/>
    </xf>
    <xf numFmtId="0" fontId="0" fillId="0" borderId="40" xfId="0" applyBorder="1" applyAlignment="1">
      <alignment horizontal="left" wrapText="1" indent="1"/>
    </xf>
    <xf numFmtId="0" fontId="0" fillId="4" borderId="24" xfId="0" applyFill="1" applyBorder="1" applyAlignment="1">
      <alignment horizontal="left" indent="1"/>
    </xf>
    <xf numFmtId="0" fontId="0" fillId="4" borderId="13" xfId="0" applyFill="1" applyBorder="1" applyAlignment="1">
      <alignment horizontal="left" indent="1"/>
    </xf>
    <xf numFmtId="0" fontId="37" fillId="4" borderId="1" xfId="0" applyFont="1" applyFill="1" applyBorder="1" applyAlignment="1">
      <alignment vertical="center" wrapText="1"/>
    </xf>
    <xf numFmtId="0" fontId="0" fillId="4" borderId="0" xfId="0" applyFill="1"/>
    <xf numFmtId="0" fontId="0" fillId="4" borderId="2" xfId="0" applyFill="1" applyBorder="1"/>
    <xf numFmtId="0" fontId="9" fillId="4" borderId="39" xfId="0" applyFont="1" applyFill="1" applyBorder="1" applyAlignment="1">
      <alignment horizontal="justify" vertical="top"/>
    </xf>
    <xf numFmtId="0" fontId="0" fillId="0" borderId="4" xfId="0" applyBorder="1" applyAlignment="1">
      <alignment horizontal="justify" vertical="top"/>
    </xf>
    <xf numFmtId="0" fontId="9" fillId="4" borderId="39" xfId="0" applyFont="1" applyFill="1" applyBorder="1" applyAlignment="1">
      <alignment horizontal="justify" vertical="top" wrapText="1"/>
    </xf>
    <xf numFmtId="0" fontId="9" fillId="4" borderId="2" xfId="0" applyFont="1" applyFill="1" applyBorder="1" applyAlignment="1">
      <alignment horizontal="justify" vertical="top" wrapText="1"/>
    </xf>
    <xf numFmtId="0" fontId="37" fillId="4" borderId="34" xfId="0" applyFont="1" applyFill="1" applyBorder="1" applyAlignment="1">
      <alignment horizontal="left" vertical="center" wrapText="1" indent="1"/>
    </xf>
    <xf numFmtId="0" fontId="0" fillId="4" borderId="23" xfId="0" applyFill="1" applyBorder="1" applyAlignment="1">
      <alignment horizontal="left" indent="1"/>
    </xf>
    <xf numFmtId="0" fontId="0" fillId="4" borderId="39" xfId="0" applyFill="1" applyBorder="1" applyAlignment="1">
      <alignment horizontal="left" indent="1"/>
    </xf>
    <xf numFmtId="0" fontId="24" fillId="15" borderId="45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left" vertical="center" wrapText="1" indent="1"/>
    </xf>
    <xf numFmtId="0" fontId="0" fillId="0" borderId="2" xfId="0" applyBorder="1" applyAlignment="1">
      <alignment vertical="top"/>
    </xf>
    <xf numFmtId="0" fontId="0" fillId="4" borderId="23" xfId="0" applyFill="1" applyBorder="1" applyAlignment="1">
      <alignment horizontal="left" wrapText="1" indent="1"/>
    </xf>
    <xf numFmtId="0" fontId="0" fillId="4" borderId="39" xfId="0" applyFill="1" applyBorder="1" applyAlignment="1">
      <alignment horizontal="left" wrapText="1" indent="1"/>
    </xf>
    <xf numFmtId="0" fontId="37" fillId="4" borderId="61" xfId="0" applyFont="1" applyFill="1" applyBorder="1" applyAlignment="1">
      <alignment vertical="center" wrapText="1"/>
    </xf>
    <xf numFmtId="0" fontId="37" fillId="4" borderId="4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5" fillId="11" borderId="82" xfId="0" applyFont="1" applyFill="1" applyBorder="1" applyAlignment="1" applyProtection="1">
      <alignment horizontal="center"/>
      <protection hidden="1"/>
    </xf>
    <xf numFmtId="0" fontId="5" fillId="11" borderId="64" xfId="0" applyFont="1" applyFill="1" applyBorder="1" applyAlignment="1" applyProtection="1">
      <alignment horizontal="center"/>
      <protection hidden="1"/>
    </xf>
    <xf numFmtId="0" fontId="0" fillId="11" borderId="80" xfId="0" applyFill="1" applyBorder="1" applyProtection="1">
      <protection hidden="1"/>
    </xf>
    <xf numFmtId="0" fontId="0" fillId="11" borderId="64" xfId="0" applyFill="1" applyBorder="1" applyProtection="1">
      <protection hidden="1"/>
    </xf>
    <xf numFmtId="0" fontId="5" fillId="11" borderId="106" xfId="0" applyFont="1" applyFill="1" applyBorder="1" applyAlignment="1" applyProtection="1">
      <alignment horizontal="left"/>
      <protection hidden="1"/>
    </xf>
    <xf numFmtId="0" fontId="0" fillId="11" borderId="61" xfId="0" applyFill="1" applyBorder="1" applyProtection="1">
      <protection hidden="1"/>
    </xf>
    <xf numFmtId="0" fontId="0" fillId="11" borderId="60" xfId="0" applyFill="1" applyBorder="1" applyProtection="1">
      <protection hidden="1"/>
    </xf>
    <xf numFmtId="0" fontId="2" fillId="11" borderId="43" xfId="0" applyFont="1" applyFill="1" applyBorder="1" applyAlignment="1" applyProtection="1">
      <alignment horizontal="center"/>
      <protection hidden="1"/>
    </xf>
    <xf numFmtId="0" fontId="0" fillId="11" borderId="27" xfId="0" applyFill="1" applyBorder="1" applyAlignment="1" applyProtection="1">
      <alignment horizontal="center"/>
      <protection hidden="1"/>
    </xf>
    <xf numFmtId="0" fontId="0" fillId="11" borderId="93" xfId="0" applyFill="1" applyBorder="1" applyAlignment="1" applyProtection="1">
      <alignment horizontal="center"/>
      <protection hidden="1"/>
    </xf>
    <xf numFmtId="0" fontId="4" fillId="11" borderId="111" xfId="0" applyFont="1" applyFill="1" applyBorder="1" applyAlignment="1" applyProtection="1">
      <alignment horizontal="center"/>
      <protection hidden="1"/>
    </xf>
    <xf numFmtId="0" fontId="5" fillId="11" borderId="111" xfId="0" applyFont="1" applyFill="1" applyBorder="1" applyAlignment="1" applyProtection="1">
      <alignment horizontal="center"/>
      <protection hidden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  <cellStyle name="Normal 7" xfId="6" xr:uid="{00000000-0005-0000-0000-000006000000}"/>
    <cellStyle name="Percentagem" xfId="7" builtinId="5"/>
    <cellStyle name="Percentagem 2" xfId="8" xr:uid="{00000000-0005-0000-0000-000008000000}"/>
    <cellStyle name="Percentagem 3" xfId="9" xr:uid="{00000000-0005-0000-0000-000009000000}"/>
  </cellStyles>
  <dxfs count="402"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/>
        <i val="0"/>
        <color theme="1"/>
      </font>
      <fill>
        <patternFill>
          <bgColor theme="2" tint="-0.24994659260841701"/>
        </patternFill>
      </fill>
    </dxf>
    <dxf>
      <font>
        <b/>
        <i val="0"/>
        <condense val="0"/>
        <extend val="0"/>
        <color indexed="10"/>
      </font>
    </dxf>
    <dxf>
      <border>
        <left/>
        <right style="dotted">
          <color indexed="22"/>
        </right>
        <top style="dotted">
          <color indexed="22"/>
        </top>
        <bottom style="dotted">
          <color indexed="22"/>
        </bottom>
      </border>
    </dxf>
    <dxf>
      <border>
        <left/>
        <right/>
        <top style="dotted">
          <color indexed="22"/>
        </top>
        <bottom style="dotted">
          <color indexed="22"/>
        </bottom>
      </border>
    </dxf>
    <dxf>
      <border>
        <left style="dotted">
          <color indexed="22"/>
        </left>
        <right/>
        <top style="dotted">
          <color indexed="22"/>
        </top>
        <bottom style="dotted">
          <color indexed="22"/>
        </bottom>
      </border>
    </dxf>
    <dxf>
      <font>
        <b val="0"/>
        <i val="0"/>
        <strike val="0"/>
        <condense val="0"/>
        <extend val="0"/>
        <color indexed="10"/>
      </font>
    </dxf>
    <dxf>
      <font>
        <condense val="0"/>
        <extend val="0"/>
        <color indexed="9"/>
      </font>
      <fill>
        <patternFill>
          <bgColor indexed="53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/>
        <i val="0"/>
        <color theme="1"/>
      </font>
      <fill>
        <patternFill>
          <bgColor theme="2" tint="-0.2499465926084170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 val="0"/>
        <i val="0"/>
        <condense val="0"/>
        <extend val="0"/>
        <color indexed="9"/>
      </font>
      <fill>
        <patternFill>
          <bgColor indexed="53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 val="0"/>
        <i val="0"/>
        <condense val="0"/>
        <extend val="0"/>
        <color indexed="9"/>
      </font>
      <fill>
        <patternFill>
          <bgColor indexed="53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/>
        <i val="0"/>
        <color theme="3" tint="-0.24994659260841701"/>
      </font>
    </dxf>
    <dxf>
      <font>
        <b/>
        <i val="0"/>
        <condense val="0"/>
        <extend val="0"/>
        <color indexed="56"/>
      </font>
    </dxf>
    <dxf>
      <font>
        <b/>
        <i val="0"/>
        <color theme="3" tint="-0.24994659260841701"/>
      </font>
    </dxf>
    <dxf>
      <font>
        <condense val="0"/>
        <extend val="0"/>
        <color indexed="9"/>
      </font>
      <fill>
        <patternFill>
          <bgColor indexed="53"/>
        </patternFill>
      </fill>
      <border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border>
        <left style="dotted">
          <color indexed="22"/>
        </left>
        <right/>
        <top style="dotted">
          <color indexed="22"/>
        </top>
        <bottom style="dotted">
          <color indexed="22"/>
        </bottom>
      </border>
    </dxf>
    <dxf>
      <border>
        <left/>
        <right/>
        <top style="dotted">
          <color indexed="22"/>
        </top>
        <bottom style="dotted">
          <color indexed="22"/>
        </bottom>
      </border>
    </dxf>
    <dxf>
      <border>
        <left/>
        <right style="dotted">
          <color indexed="22"/>
        </right>
        <top style="dotted">
          <color indexed="22"/>
        </top>
        <bottom style="dotted">
          <color indexed="22"/>
        </bottom>
      </border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20" dropStyle="combo" dx="16" fmlaLink="$Z$9" fmlaRange="'Quadros 0 , 1 , 2 , 3 e 4'!$D$9:$G$28" noThreeD="1" sel="1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Lines="20" dropStyle="combo" dx="16" fmlaLink="$Z$10" fmlaRange="'Quadros 0 , 1 , 2 , 3 e 4'!$D$9:$G$28" noThreeD="1" sel="11" val="0"/>
</file>

<file path=xl/ctrlProps/ctrlProp4.xml><?xml version="1.0" encoding="utf-8"?>
<formControlPr xmlns="http://schemas.microsoft.com/office/spreadsheetml/2009/9/main" objectType="Drop" dropLines="20" dropStyle="combo" dx="16" fmlaLink="$Z$11" fmlaRange="'Quadros 0 , 1 , 2 , 3 e 4'!$D$9:$G$28" noThreeD="1" sel="11" val="0"/>
</file>

<file path=xl/ctrlProps/ctrlProp5.xml><?xml version="1.0" encoding="utf-8"?>
<formControlPr xmlns="http://schemas.microsoft.com/office/spreadsheetml/2009/9/main" objectType="Drop" dropLines="20" dropStyle="combo" dx="16" fmlaLink="$Z$12" fmlaRange="'Quadros 0 , 1 , 2 , 3 e 4'!$D$9:$G$28" noThreeD="1" sel="12" val="0"/>
</file>

<file path=xl/ctrlProps/ctrlProp6.xml><?xml version="1.0" encoding="utf-8"?>
<formControlPr xmlns="http://schemas.microsoft.com/office/spreadsheetml/2009/9/main" objectType="Drop" dropLines="20" dropStyle="combo" dx="16" fmlaLink="$Z$13" fmlaRange="'Quadros 0 , 1 , 2 , 3 e 4'!$D$9:$G$28" noThreeD="1" sel="13" val="0"/>
</file>

<file path=xl/ctrlProps/ctrlProp7.xml><?xml version="1.0" encoding="utf-8"?>
<formControlPr xmlns="http://schemas.microsoft.com/office/spreadsheetml/2009/9/main" objectType="Drop" dropLines="20" dropStyle="combo" dx="16" fmlaLink="$AJ$9" fmlaRange="'Quadros 0 , 1 , 2 , 3 e 4'!$D$9:$G$28" noThreeD="1" sel="20" val="0"/>
</file>

<file path=xl/ctrlProps/ctrlProp8.xml><?xml version="1.0" encoding="utf-8"?>
<formControlPr xmlns="http://schemas.microsoft.com/office/spreadsheetml/2009/9/main" objectType="Drop" dropLines="20" dropStyle="combo" dx="16" fmlaLink="$AJ$10" fmlaRange="'Quadros 0 , 1 , 2 , 3 e 4'!$D$9:$G$28" noThreeD="1" sel="20" val="0"/>
</file>

<file path=xl/ctrlProps/ctrlProp9.xml><?xml version="1.0" encoding="utf-8"?>
<formControlPr xmlns="http://schemas.microsoft.com/office/spreadsheetml/2009/9/main" objectType="Drop" dropLines="20" dropStyle="combo" dx="16" fmlaLink="$AJ$11" fmlaRange="'Quadros 0 , 1 , 2 , 3 e 4'!$D$9:$G$28" noThreeD="1" sel="20" val="0"/>
</file>

<file path=xl/ctrlProps/ctrlProp10.xml><?xml version="1.0" encoding="utf-8"?>
<formControlPr xmlns="http://schemas.microsoft.com/office/spreadsheetml/2009/9/main" objectType="Drop" dropLines="20" dropStyle="combo" dx="16" fmlaLink="$AJ$12" fmlaRange="'Quadros 0 , 1 , 2 , 3 e 4'!$D$9:$G$28" noThreeD="1" sel="20" val="0"/>
</file>

<file path=xl/ctrlProps/ctrlProp11.xml><?xml version="1.0" encoding="utf-8"?>
<formControlPr xmlns="http://schemas.microsoft.com/office/spreadsheetml/2009/9/main" objectType="Drop" dropLines="20" dropStyle="combo" dx="16" fmlaLink="$AJ$13" fmlaRange="'Quadros 0 , 1 , 2 , 3 e 4'!$D$9:$G$28" noThreeD="1" sel="20" val="0"/>
</file>

<file path=xl/ctrlProps/ctrlProp12.xml><?xml version="1.0" encoding="utf-8"?>
<formControlPr xmlns="http://schemas.microsoft.com/office/spreadsheetml/2009/9/main" objectType="Drop" dropLines="6" dropStyle="combo" dx="16" fmlaLink="$I$5" fmlaRange="'Quadros 0 , 1 , 2 , 3 e 4'!$K$35:$O$40" noThreeD="1" sel="1" val="0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hyperlink" Target="http://www.apta.pt" TargetMode="External"/><Relationship Id="rId5" Type="http://schemas.openxmlformats.org/officeDocument/2006/relationships/hyperlink" Target="mailto:info@apta.pt" TargetMode="External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pta.pt" TargetMode="External"/><Relationship Id="rId2" Type="http://schemas.openxmlformats.org/officeDocument/2006/relationships/hyperlink" Target="mailto:info@apta.pt" TargetMode="External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hyperlink" Target="mailto:info@apta.pt" TargetMode="External"/><Relationship Id="rId1" Type="http://schemas.openxmlformats.org/officeDocument/2006/relationships/image" Target="../media/image5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pta.pt/conteudos.php?idConteudo=206" TargetMode="External"/><Relationship Id="rId2" Type="http://schemas.openxmlformats.org/officeDocument/2006/relationships/hyperlink" Target="mailto:info@apta.pt" TargetMode="External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image" Target="../media/image22.png"/><Relationship Id="rId18" Type="http://schemas.openxmlformats.org/officeDocument/2006/relationships/image" Target="../media/image27.png"/><Relationship Id="rId26" Type="http://schemas.openxmlformats.org/officeDocument/2006/relationships/hyperlink" Target="http://www.apta.pt/conteudos.php?idConteudo=206" TargetMode="External"/><Relationship Id="rId3" Type="http://schemas.openxmlformats.org/officeDocument/2006/relationships/image" Target="../media/image12.png"/><Relationship Id="rId21" Type="http://schemas.openxmlformats.org/officeDocument/2006/relationships/image" Target="../media/image30.png"/><Relationship Id="rId7" Type="http://schemas.openxmlformats.org/officeDocument/2006/relationships/image" Target="../media/image16.png"/><Relationship Id="rId12" Type="http://schemas.openxmlformats.org/officeDocument/2006/relationships/image" Target="../media/image21.png"/><Relationship Id="rId17" Type="http://schemas.openxmlformats.org/officeDocument/2006/relationships/image" Target="../media/image26.png"/><Relationship Id="rId25" Type="http://schemas.openxmlformats.org/officeDocument/2006/relationships/hyperlink" Target="mailto:info@apta.pt" TargetMode="External"/><Relationship Id="rId2" Type="http://schemas.openxmlformats.org/officeDocument/2006/relationships/image" Target="../media/image11.png"/><Relationship Id="rId16" Type="http://schemas.openxmlformats.org/officeDocument/2006/relationships/image" Target="../media/image25.png"/><Relationship Id="rId20" Type="http://schemas.openxmlformats.org/officeDocument/2006/relationships/image" Target="../media/image29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11" Type="http://schemas.openxmlformats.org/officeDocument/2006/relationships/image" Target="../media/image20.png"/><Relationship Id="rId24" Type="http://schemas.openxmlformats.org/officeDocument/2006/relationships/image" Target="../media/image33.jpeg"/><Relationship Id="rId5" Type="http://schemas.openxmlformats.org/officeDocument/2006/relationships/image" Target="../media/image14.png"/><Relationship Id="rId15" Type="http://schemas.openxmlformats.org/officeDocument/2006/relationships/image" Target="../media/image24.png"/><Relationship Id="rId23" Type="http://schemas.openxmlformats.org/officeDocument/2006/relationships/image" Target="../media/image32.jpg"/><Relationship Id="rId10" Type="http://schemas.openxmlformats.org/officeDocument/2006/relationships/image" Target="../media/image19.png"/><Relationship Id="rId19" Type="http://schemas.openxmlformats.org/officeDocument/2006/relationships/image" Target="../media/image28.png"/><Relationship Id="rId4" Type="http://schemas.openxmlformats.org/officeDocument/2006/relationships/image" Target="../media/image13.png"/><Relationship Id="rId9" Type="http://schemas.openxmlformats.org/officeDocument/2006/relationships/image" Target="../media/image18.png"/><Relationship Id="rId14" Type="http://schemas.openxmlformats.org/officeDocument/2006/relationships/image" Target="../media/image23.png"/><Relationship Id="rId22" Type="http://schemas.openxmlformats.org/officeDocument/2006/relationships/image" Target="../media/image3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8.png"/><Relationship Id="rId13" Type="http://schemas.openxmlformats.org/officeDocument/2006/relationships/image" Target="../media/image20.png"/><Relationship Id="rId18" Type="http://schemas.openxmlformats.org/officeDocument/2006/relationships/image" Target="../media/image25.png"/><Relationship Id="rId26" Type="http://schemas.openxmlformats.org/officeDocument/2006/relationships/image" Target="../media/image32.jpg"/><Relationship Id="rId3" Type="http://schemas.openxmlformats.org/officeDocument/2006/relationships/image" Target="../media/image30.png"/><Relationship Id="rId21" Type="http://schemas.openxmlformats.org/officeDocument/2006/relationships/image" Target="../media/image46.png"/><Relationship Id="rId7" Type="http://schemas.openxmlformats.org/officeDocument/2006/relationships/image" Target="../media/image37.png"/><Relationship Id="rId12" Type="http://schemas.openxmlformats.org/officeDocument/2006/relationships/image" Target="../media/image42.png"/><Relationship Id="rId17" Type="http://schemas.openxmlformats.org/officeDocument/2006/relationships/image" Target="../media/image24.png"/><Relationship Id="rId25" Type="http://schemas.openxmlformats.org/officeDocument/2006/relationships/image" Target="../media/image31.png"/><Relationship Id="rId2" Type="http://schemas.openxmlformats.org/officeDocument/2006/relationships/image" Target="../media/image12.png"/><Relationship Id="rId16" Type="http://schemas.openxmlformats.org/officeDocument/2006/relationships/image" Target="../media/image23.png"/><Relationship Id="rId20" Type="http://schemas.openxmlformats.org/officeDocument/2006/relationships/image" Target="../media/image45.png"/><Relationship Id="rId1" Type="http://schemas.openxmlformats.org/officeDocument/2006/relationships/image" Target="../media/image34.png"/><Relationship Id="rId6" Type="http://schemas.openxmlformats.org/officeDocument/2006/relationships/hyperlink" Target="mailto:info@apta.pt" TargetMode="External"/><Relationship Id="rId11" Type="http://schemas.openxmlformats.org/officeDocument/2006/relationships/image" Target="../media/image41.png"/><Relationship Id="rId24" Type="http://schemas.openxmlformats.org/officeDocument/2006/relationships/image" Target="../media/image29.png"/><Relationship Id="rId5" Type="http://schemas.openxmlformats.org/officeDocument/2006/relationships/image" Target="../media/image36.jpeg"/><Relationship Id="rId15" Type="http://schemas.openxmlformats.org/officeDocument/2006/relationships/image" Target="../media/image22.png"/><Relationship Id="rId23" Type="http://schemas.openxmlformats.org/officeDocument/2006/relationships/image" Target="../media/image28.png"/><Relationship Id="rId10" Type="http://schemas.openxmlformats.org/officeDocument/2006/relationships/image" Target="../media/image40.png"/><Relationship Id="rId19" Type="http://schemas.openxmlformats.org/officeDocument/2006/relationships/image" Target="../media/image44.png"/><Relationship Id="rId4" Type="http://schemas.openxmlformats.org/officeDocument/2006/relationships/image" Target="../media/image35.png"/><Relationship Id="rId9" Type="http://schemas.openxmlformats.org/officeDocument/2006/relationships/image" Target="../media/image39.png"/><Relationship Id="rId14" Type="http://schemas.openxmlformats.org/officeDocument/2006/relationships/image" Target="../media/image43.png"/><Relationship Id="rId22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mailto:info@apta.pt" TargetMode="External"/><Relationship Id="rId1" Type="http://schemas.openxmlformats.org/officeDocument/2006/relationships/image" Target="../media/image3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184444</xdr:colOff>
      <xdr:row>8</xdr:row>
      <xdr:rowOff>104780</xdr:rowOff>
    </xdr:from>
    <xdr:to>
      <xdr:col>18</xdr:col>
      <xdr:colOff>289214</xdr:colOff>
      <xdr:row>13</xdr:row>
      <xdr:rowOff>28580</xdr:rowOff>
    </xdr:to>
    <xdr:sp macro="" textlink="">
      <xdr:nvSpPr>
        <xdr:cNvPr id="124993" name="AutoShape 29">
          <a:extLst>
            <a:ext uri="{FF2B5EF4-FFF2-40B4-BE49-F238E27FC236}">
              <a16:creationId xmlns:a16="http://schemas.microsoft.com/office/drawing/2014/main" id="{00000000-0008-0000-0000-000041E80100}"/>
            </a:ext>
          </a:extLst>
        </xdr:cNvPr>
        <xdr:cNvSpPr>
          <a:spLocks noChangeArrowheads="1"/>
        </xdr:cNvSpPr>
      </xdr:nvSpPr>
      <xdr:spPr bwMode="auto">
        <a:xfrm rot="5400000">
          <a:off x="5881688" y="2043112"/>
          <a:ext cx="1066800" cy="104775"/>
        </a:xfrm>
        <a:prstGeom prst="notchedRightArrow">
          <a:avLst>
            <a:gd name="adj1" fmla="val 50000"/>
            <a:gd name="adj2" fmla="val 141414"/>
          </a:avLst>
        </a:prstGeom>
        <a:solidFill>
          <a:srgbClr val="33333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33</xdr:col>
      <xdr:colOff>36002</xdr:colOff>
      <xdr:row>4</xdr:row>
      <xdr:rowOff>47620</xdr:rowOff>
    </xdr:from>
    <xdr:to>
      <xdr:col>34</xdr:col>
      <xdr:colOff>572984</xdr:colOff>
      <xdr:row>5</xdr:row>
      <xdr:rowOff>57150</xdr:rowOff>
    </xdr:to>
    <xdr:sp macro="" textlink="">
      <xdr:nvSpPr>
        <xdr:cNvPr id="16475" name="Text Box 91">
          <a:extLst>
            <a:ext uri="{FF2B5EF4-FFF2-40B4-BE49-F238E27FC236}">
              <a16:creationId xmlns:a16="http://schemas.microsoft.com/office/drawing/2014/main" id="{00000000-0008-0000-0000-00005B400000}"/>
            </a:ext>
          </a:extLst>
        </xdr:cNvPr>
        <xdr:cNvSpPr txBox="1">
          <a:spLocks noChangeArrowheads="1"/>
        </xdr:cNvSpPr>
      </xdr:nvSpPr>
      <xdr:spPr bwMode="auto">
        <a:xfrm>
          <a:off x="12425924" y="661178"/>
          <a:ext cx="1041684" cy="217348"/>
        </a:xfrm>
        <a:prstGeom prst="rect">
          <a:avLst/>
        </a:prstGeom>
        <a:gradFill rotWithShape="1">
          <a:gsLst>
            <a:gs pos="0">
              <a:srgbClr val="333333"/>
            </a:gs>
            <a:gs pos="100000">
              <a:srgbClr val="969696"/>
            </a:gs>
          </a:gsLst>
          <a:lin ang="5400000" scaled="1"/>
        </a:gradFill>
        <a:ln w="9525">
          <a:noFill/>
          <a:miter lim="800000"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Fogo tipo 2</a:t>
          </a:r>
        </a:p>
      </xdr:txBody>
    </xdr:sp>
    <xdr:clientData/>
  </xdr:twoCellAnchor>
  <xdr:twoCellAnchor editAs="oneCell">
    <xdr:from>
      <xdr:col>20</xdr:col>
      <xdr:colOff>22514</xdr:colOff>
      <xdr:row>4</xdr:row>
      <xdr:rowOff>47620</xdr:rowOff>
    </xdr:from>
    <xdr:to>
      <xdr:col>22</xdr:col>
      <xdr:colOff>393984</xdr:colOff>
      <xdr:row>5</xdr:row>
      <xdr:rowOff>57150</xdr:rowOff>
    </xdr:to>
    <xdr:sp macro="" textlink="">
      <xdr:nvSpPr>
        <xdr:cNvPr id="16477" name="Text Box 93">
          <a:extLst>
            <a:ext uri="{FF2B5EF4-FFF2-40B4-BE49-F238E27FC236}">
              <a16:creationId xmlns:a16="http://schemas.microsoft.com/office/drawing/2014/main" id="{00000000-0008-0000-0000-00005D400000}"/>
            </a:ext>
          </a:extLst>
        </xdr:cNvPr>
        <xdr:cNvSpPr txBox="1">
          <a:spLocks noChangeArrowheads="1"/>
        </xdr:cNvSpPr>
      </xdr:nvSpPr>
      <xdr:spPr bwMode="auto">
        <a:xfrm>
          <a:off x="6772275" y="666750"/>
          <a:ext cx="923925" cy="219075"/>
        </a:xfrm>
        <a:prstGeom prst="rect">
          <a:avLst/>
        </a:prstGeom>
        <a:gradFill rotWithShape="1">
          <a:gsLst>
            <a:gs pos="0">
              <a:srgbClr val="333333"/>
            </a:gs>
            <a:gs pos="100000">
              <a:srgbClr val="969696"/>
            </a:gs>
          </a:gsLst>
          <a:lin ang="5400000" scaled="1"/>
        </a:gradFill>
        <a:ln w="9525">
          <a:noFill/>
          <a:miter lim="800000"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Fogo tipo 1</a:t>
          </a:r>
        </a:p>
      </xdr:txBody>
    </xdr:sp>
    <xdr:clientData/>
  </xdr:twoCellAnchor>
  <xdr:twoCellAnchor>
    <xdr:from>
      <xdr:col>53</xdr:col>
      <xdr:colOff>133350</xdr:colOff>
      <xdr:row>22</xdr:row>
      <xdr:rowOff>9525</xdr:rowOff>
    </xdr:from>
    <xdr:to>
      <xdr:col>68</xdr:col>
      <xdr:colOff>76200</xdr:colOff>
      <xdr:row>24</xdr:row>
      <xdr:rowOff>28575</xdr:rowOff>
    </xdr:to>
    <xdr:sp macro="" textlink="">
      <xdr:nvSpPr>
        <xdr:cNvPr id="125000" name="AutoShape 469">
          <a:extLst>
            <a:ext uri="{FF2B5EF4-FFF2-40B4-BE49-F238E27FC236}">
              <a16:creationId xmlns:a16="http://schemas.microsoft.com/office/drawing/2014/main" id="{00000000-0008-0000-0000-000048E80100}"/>
            </a:ext>
          </a:extLst>
        </xdr:cNvPr>
        <xdr:cNvSpPr>
          <a:spLocks noChangeArrowheads="1"/>
        </xdr:cNvSpPr>
      </xdr:nvSpPr>
      <xdr:spPr bwMode="auto">
        <a:xfrm>
          <a:off x="15963900" y="3867150"/>
          <a:ext cx="0" cy="209550"/>
        </a:xfrm>
        <a:prstGeom prst="rightArrow">
          <a:avLst>
            <a:gd name="adj1" fmla="val 45454"/>
            <a:gd name="adj2" fmla="val -2147483648"/>
          </a:avLst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absolute">
    <xdr:from>
      <xdr:col>33</xdr:col>
      <xdr:colOff>31366</xdr:colOff>
      <xdr:row>16</xdr:row>
      <xdr:rowOff>189138</xdr:rowOff>
    </xdr:from>
    <xdr:to>
      <xdr:col>42</xdr:col>
      <xdr:colOff>240231</xdr:colOff>
      <xdr:row>17</xdr:row>
      <xdr:rowOff>189137</xdr:rowOff>
    </xdr:to>
    <xdr:sp macro="" textlink="">
      <xdr:nvSpPr>
        <xdr:cNvPr id="16855" name="Rectangle 471">
          <a:extLst>
            <a:ext uri="{FF2B5EF4-FFF2-40B4-BE49-F238E27FC236}">
              <a16:creationId xmlns:a16="http://schemas.microsoft.com/office/drawing/2014/main" id="{00000000-0008-0000-0000-0000D7410000}"/>
            </a:ext>
          </a:extLst>
        </xdr:cNvPr>
        <xdr:cNvSpPr>
          <a:spLocks noChangeArrowheads="1"/>
        </xdr:cNvSpPr>
      </xdr:nvSpPr>
      <xdr:spPr bwMode="auto">
        <a:xfrm>
          <a:off x="12581852" y="3427638"/>
          <a:ext cx="4266515" cy="2095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FF0000"/>
              </a:solidFill>
              <a:latin typeface="Arial"/>
              <a:cs typeface="Arial"/>
            </a:rPr>
            <a:t>Atenção: 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Ao premir este botão realiza uma limpeza geral dos dados introduzidos.</a:t>
          </a:r>
        </a:p>
      </xdr:txBody>
    </xdr:sp>
    <xdr:clientData fPrintsWithSheet="0"/>
  </xdr:twoCellAnchor>
  <xdr:twoCellAnchor>
    <xdr:from>
      <xdr:col>38</xdr:col>
      <xdr:colOff>560702</xdr:colOff>
      <xdr:row>50</xdr:row>
      <xdr:rowOff>133780</xdr:rowOff>
    </xdr:from>
    <xdr:to>
      <xdr:col>42</xdr:col>
      <xdr:colOff>342896</xdr:colOff>
      <xdr:row>51</xdr:row>
      <xdr:rowOff>159482</xdr:rowOff>
    </xdr:to>
    <xdr:sp macro="" textlink="">
      <xdr:nvSpPr>
        <xdr:cNvPr id="16871" name="Text Box 487">
          <a:extLst>
            <a:ext uri="{FF2B5EF4-FFF2-40B4-BE49-F238E27FC236}">
              <a16:creationId xmlns:a16="http://schemas.microsoft.com/office/drawing/2014/main" id="{00000000-0008-0000-0000-0000E7410000}"/>
            </a:ext>
          </a:extLst>
        </xdr:cNvPr>
        <xdr:cNvSpPr txBox="1">
          <a:spLocks noChangeArrowheads="1"/>
        </xdr:cNvSpPr>
      </xdr:nvSpPr>
      <xdr:spPr bwMode="auto">
        <a:xfrm>
          <a:off x="15713616" y="10110537"/>
          <a:ext cx="963294" cy="243416"/>
        </a:xfrm>
        <a:prstGeom prst="rect">
          <a:avLst/>
        </a:prstGeom>
        <a:solidFill>
          <a:schemeClr val="bg2">
            <a:lumMod val="90000"/>
          </a:schemeClr>
        </a:solidFill>
        <a:ln w="9525">
          <a:solidFill>
            <a:srgbClr val="C0C0C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 mbar = 0,1 kPa</a:t>
          </a:r>
        </a:p>
      </xdr:txBody>
    </xdr:sp>
    <xdr:clientData/>
  </xdr:twoCellAnchor>
  <xdr:twoCellAnchor editAs="absolute">
    <xdr:from>
      <xdr:col>32</xdr:col>
      <xdr:colOff>184444</xdr:colOff>
      <xdr:row>8</xdr:row>
      <xdr:rowOff>123820</xdr:rowOff>
    </xdr:from>
    <xdr:to>
      <xdr:col>32</xdr:col>
      <xdr:colOff>289214</xdr:colOff>
      <xdr:row>13</xdr:row>
      <xdr:rowOff>47620</xdr:rowOff>
    </xdr:to>
    <xdr:sp macro="" textlink="">
      <xdr:nvSpPr>
        <xdr:cNvPr id="125008" name="AutoShape 685">
          <a:extLst>
            <a:ext uri="{FF2B5EF4-FFF2-40B4-BE49-F238E27FC236}">
              <a16:creationId xmlns:a16="http://schemas.microsoft.com/office/drawing/2014/main" id="{00000000-0008-0000-0000-000050E80100}"/>
            </a:ext>
          </a:extLst>
        </xdr:cNvPr>
        <xdr:cNvSpPr>
          <a:spLocks noChangeArrowheads="1"/>
        </xdr:cNvSpPr>
      </xdr:nvSpPr>
      <xdr:spPr bwMode="auto">
        <a:xfrm rot="5400000">
          <a:off x="10815638" y="2062162"/>
          <a:ext cx="1066800" cy="104775"/>
        </a:xfrm>
        <a:prstGeom prst="notchedRightArrow">
          <a:avLst>
            <a:gd name="adj1" fmla="val 50000"/>
            <a:gd name="adj2" fmla="val 141414"/>
          </a:avLst>
        </a:prstGeom>
        <a:solidFill>
          <a:srgbClr val="33333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24740</xdr:colOff>
      <xdr:row>15</xdr:row>
      <xdr:rowOff>47620</xdr:rowOff>
    </xdr:from>
    <xdr:to>
      <xdr:col>25</xdr:col>
      <xdr:colOff>600811</xdr:colOff>
      <xdr:row>16</xdr:row>
      <xdr:rowOff>19792</xdr:rowOff>
    </xdr:to>
    <xdr:sp macro="" textlink="">
      <xdr:nvSpPr>
        <xdr:cNvPr id="17072" name="Text Box 688">
          <a:extLst>
            <a:ext uri="{FF2B5EF4-FFF2-40B4-BE49-F238E27FC236}">
              <a16:creationId xmlns:a16="http://schemas.microsoft.com/office/drawing/2014/main" id="{00000000-0008-0000-0000-0000B0420000}"/>
            </a:ext>
          </a:extLst>
        </xdr:cNvPr>
        <xdr:cNvSpPr txBox="1">
          <a:spLocks noChangeArrowheads="1"/>
        </xdr:cNvSpPr>
      </xdr:nvSpPr>
      <xdr:spPr bwMode="auto">
        <a:xfrm>
          <a:off x="7174675" y="3056035"/>
          <a:ext cx="1743811" cy="179991"/>
        </a:xfrm>
        <a:prstGeom prst="rect">
          <a:avLst/>
        </a:prstGeom>
        <a:gradFill rotWithShape="1">
          <a:gsLst>
            <a:gs pos="50000">
              <a:schemeClr val="bg1">
                <a:lumMod val="65000"/>
              </a:schemeClr>
            </a:gs>
            <a:gs pos="0">
              <a:schemeClr val="bg1">
                <a:lumMod val="50000"/>
              </a:schemeClr>
            </a:gs>
            <a:gs pos="100000">
              <a:schemeClr val="bg1">
                <a:lumMod val="50000"/>
              </a:schemeClr>
            </a:gs>
          </a:gsLst>
          <a:lin ang="5400000" scaled="1"/>
        </a:gra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FFFFFF"/>
              </a:solidFill>
              <a:latin typeface="Arial"/>
              <a:cs typeface="Arial"/>
            </a:rPr>
            <a:t>Trajecto crítico - Inst. Colectiva</a:t>
          </a:r>
          <a:endParaRPr lang="pt-PT" sz="1000" b="0" i="0" u="none" strike="noStrike" baseline="0">
            <a:solidFill>
              <a:srgbClr val="FFFFFF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238125</xdr:colOff>
      <xdr:row>49</xdr:row>
      <xdr:rowOff>57150</xdr:rowOff>
    </xdr:from>
    <xdr:to>
      <xdr:col>18</xdr:col>
      <xdr:colOff>19050</xdr:colOff>
      <xdr:row>58</xdr:row>
      <xdr:rowOff>19050</xdr:rowOff>
    </xdr:to>
    <xdr:grpSp>
      <xdr:nvGrpSpPr>
        <xdr:cNvPr id="125011" name="Group 751">
          <a:extLst>
            <a:ext uri="{FF2B5EF4-FFF2-40B4-BE49-F238E27FC236}">
              <a16:creationId xmlns:a16="http://schemas.microsoft.com/office/drawing/2014/main" id="{00000000-0008-0000-0000-000053E80100}"/>
            </a:ext>
          </a:extLst>
        </xdr:cNvPr>
        <xdr:cNvGrpSpPr>
          <a:grpSpLocks/>
        </xdr:cNvGrpSpPr>
      </xdr:nvGrpSpPr>
      <xdr:grpSpPr bwMode="auto">
        <a:xfrm>
          <a:off x="238125" y="9893877"/>
          <a:ext cx="6327198" cy="1624446"/>
          <a:chOff x="25" y="1040"/>
          <a:chExt cx="622" cy="164"/>
        </a:xfrm>
      </xdr:grpSpPr>
      <xdr:grpSp>
        <xdr:nvGrpSpPr>
          <xdr:cNvPr id="125025" name="Group 750">
            <a:extLst>
              <a:ext uri="{FF2B5EF4-FFF2-40B4-BE49-F238E27FC236}">
                <a16:creationId xmlns:a16="http://schemas.microsoft.com/office/drawing/2014/main" id="{00000000-0008-0000-0000-000061E80100}"/>
              </a:ext>
            </a:extLst>
          </xdr:cNvPr>
          <xdr:cNvGrpSpPr>
            <a:grpSpLocks/>
          </xdr:cNvGrpSpPr>
        </xdr:nvGrpSpPr>
        <xdr:grpSpPr bwMode="auto">
          <a:xfrm>
            <a:off x="291" y="1058"/>
            <a:ext cx="356" cy="110"/>
            <a:chOff x="291" y="1058"/>
            <a:chExt cx="356" cy="110"/>
          </a:xfrm>
        </xdr:grpSpPr>
        <xdr:grpSp>
          <xdr:nvGrpSpPr>
            <xdr:cNvPr id="125040" name="Group 749">
              <a:extLst>
                <a:ext uri="{FF2B5EF4-FFF2-40B4-BE49-F238E27FC236}">
                  <a16:creationId xmlns:a16="http://schemas.microsoft.com/office/drawing/2014/main" id="{00000000-0008-0000-0000-000070E8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291" y="1086"/>
              <a:ext cx="356" cy="44"/>
              <a:chOff x="291" y="1086"/>
              <a:chExt cx="356" cy="44"/>
            </a:xfrm>
          </xdr:grpSpPr>
          <xdr:sp macro="" textlink="">
            <xdr:nvSpPr>
              <xdr:cNvPr id="16487" name="Text Box 103">
                <a:extLst>
                  <a:ext uri="{FF2B5EF4-FFF2-40B4-BE49-F238E27FC236}">
                    <a16:creationId xmlns:a16="http://schemas.microsoft.com/office/drawing/2014/main" id="{00000000-0008-0000-0000-0000674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06" y="1086"/>
                <a:ext cx="341" cy="44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36000" tIns="36000" rIns="36000" bIns="36000" anchor="t" upright="1"/>
              <a:lstStyle/>
              <a:p>
                <a:pPr algn="l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Desnível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h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, inserir valor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positivo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(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+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) se o troço é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ascendente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e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negativo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(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)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se o troço é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descendente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.</a:t>
                </a:r>
              </a:p>
            </xdr:txBody>
          </xdr:sp>
          <xdr:sp macro="" textlink="">
            <xdr:nvSpPr>
              <xdr:cNvPr id="16566" name="Text Box 182">
                <a:extLst>
                  <a:ext uri="{FF2B5EF4-FFF2-40B4-BE49-F238E27FC236}">
                    <a16:creationId xmlns:a16="http://schemas.microsoft.com/office/drawing/2014/main" id="{00000000-0008-0000-0000-0000B64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91" y="1086"/>
                <a:ext cx="38" cy="26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36000" tIns="36000" rIns="90000" bIns="36000" anchor="t" upright="1"/>
              <a:lstStyle/>
              <a:p>
                <a:pPr algn="l" rtl="0">
                  <a:defRPr sz="1000"/>
                </a:pP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2)</a:t>
                </a:r>
              </a:p>
            </xdr:txBody>
          </xdr:sp>
        </xdr:grpSp>
        <xdr:grpSp>
          <xdr:nvGrpSpPr>
            <xdr:cNvPr id="125041" name="Group 693">
              <a:extLst>
                <a:ext uri="{FF2B5EF4-FFF2-40B4-BE49-F238E27FC236}">
                  <a16:creationId xmlns:a16="http://schemas.microsoft.com/office/drawing/2014/main" id="{00000000-0008-0000-0000-000071E8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291" y="1124"/>
              <a:ext cx="331" cy="44"/>
              <a:chOff x="336" y="1126"/>
              <a:chExt cx="329" cy="42"/>
            </a:xfrm>
          </xdr:grpSpPr>
          <xdr:sp macro="" textlink="">
            <xdr:nvSpPr>
              <xdr:cNvPr id="16804" name="Text Box 420">
                <a:extLst>
                  <a:ext uri="{FF2B5EF4-FFF2-40B4-BE49-F238E27FC236}">
                    <a16:creationId xmlns:a16="http://schemas.microsoft.com/office/drawing/2014/main" id="{00000000-0008-0000-0000-0000A44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45" y="1127"/>
                <a:ext cx="320" cy="41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82800" tIns="36000" rIns="72000" bIns="36000" anchor="t" upright="1"/>
              <a:lstStyle/>
              <a:p>
                <a:pPr algn="l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Nos troços em Média Pressão, deve-se adoptar uma dimensão </a:t>
                </a:r>
                <a:r>
                  <a:rPr lang="pt-PT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mínima de 1/2 (DN 15)</a:t>
                </a: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.</a:t>
                </a:r>
              </a:p>
            </xdr:txBody>
          </xdr:sp>
          <xdr:sp macro="" textlink="">
            <xdr:nvSpPr>
              <xdr:cNvPr id="17076" name="Text Box 692">
                <a:extLst>
                  <a:ext uri="{FF2B5EF4-FFF2-40B4-BE49-F238E27FC236}">
                    <a16:creationId xmlns:a16="http://schemas.microsoft.com/office/drawing/2014/main" id="{00000000-0008-0000-0000-0000B442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36" y="1126"/>
                <a:ext cx="38" cy="24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36000" tIns="36000" rIns="90000" bIns="36000" anchor="t" upright="1"/>
              <a:lstStyle/>
              <a:p>
                <a:pPr algn="l" rtl="0">
                  <a:defRPr sz="1000"/>
                </a:pP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3)</a:t>
                </a:r>
              </a:p>
            </xdr:txBody>
          </xdr:sp>
        </xdr:grpSp>
        <xdr:sp macro="" textlink="">
          <xdr:nvSpPr>
            <xdr:cNvPr id="17095" name="Text Box 711">
              <a:extLst>
                <a:ext uri="{FF2B5EF4-FFF2-40B4-BE49-F238E27FC236}">
                  <a16:creationId xmlns:a16="http://schemas.microsoft.com/office/drawing/2014/main" id="{00000000-0008-0000-0000-0000C7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93" y="1058"/>
              <a:ext cx="231" cy="27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36000" rIns="36000" bIns="360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1)</a:t>
              </a:r>
              <a:r>
                <a:rPr lang="pt-P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pt-PT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</a:t>
              </a:r>
              <a:r>
                <a:rPr lang="pt-PT" sz="1000" b="0" i="0" u="none" strike="noStrike" baseline="-25000">
                  <a:solidFill>
                    <a:srgbClr val="000000"/>
                  </a:solidFill>
                  <a:latin typeface="Arial"/>
                  <a:cs typeface="Arial"/>
                </a:rPr>
                <a:t>fogo</a:t>
              </a:r>
              <a:r>
                <a:rPr lang="pt-P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deverá ser ≥ 3,01 m</a:t>
              </a:r>
              <a:r>
                <a:rPr lang="pt-PT" sz="1000" b="0" i="0" u="none" strike="noStrike" baseline="3000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(st)</a:t>
              </a:r>
              <a:r>
                <a:rPr lang="pt-P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/h</a:t>
              </a:r>
            </a:p>
          </xdr:txBody>
        </xdr:sp>
      </xdr:grpSp>
      <xdr:grpSp>
        <xdr:nvGrpSpPr>
          <xdr:cNvPr id="125026" name="Group 712">
            <a:extLst>
              <a:ext uri="{FF2B5EF4-FFF2-40B4-BE49-F238E27FC236}">
                <a16:creationId xmlns:a16="http://schemas.microsoft.com/office/drawing/2014/main" id="{00000000-0008-0000-0000-000062E80100}"/>
              </a:ext>
            </a:extLst>
          </xdr:cNvPr>
          <xdr:cNvGrpSpPr>
            <a:grpSpLocks/>
          </xdr:cNvGrpSpPr>
        </xdr:nvGrpSpPr>
        <xdr:grpSpPr bwMode="auto">
          <a:xfrm>
            <a:off x="25" y="1040"/>
            <a:ext cx="285" cy="164"/>
            <a:chOff x="70" y="1055"/>
            <a:chExt cx="284" cy="164"/>
          </a:xfrm>
        </xdr:grpSpPr>
        <xdr:sp macro="" textlink="">
          <xdr:nvSpPr>
            <xdr:cNvPr id="125027" name="Rectangle 713">
              <a:extLst>
                <a:ext uri="{FF2B5EF4-FFF2-40B4-BE49-F238E27FC236}">
                  <a16:creationId xmlns:a16="http://schemas.microsoft.com/office/drawing/2014/main" id="{00000000-0008-0000-0000-000063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197"/>
              <a:ext cx="15" cy="16"/>
            </a:xfrm>
            <a:prstGeom prst="rect">
              <a:avLst/>
            </a:prstGeom>
            <a:solidFill>
              <a:schemeClr val="bg2">
                <a:lumMod val="50000"/>
              </a:schemeClr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028" name="Rectangle 714">
              <a:extLst>
                <a:ext uri="{FF2B5EF4-FFF2-40B4-BE49-F238E27FC236}">
                  <a16:creationId xmlns:a16="http://schemas.microsoft.com/office/drawing/2014/main" id="{00000000-0008-0000-0000-000064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126"/>
              <a:ext cx="15" cy="16"/>
            </a:xfrm>
            <a:prstGeom prst="rect">
              <a:avLst/>
            </a:prstGeom>
            <a:solidFill>
              <a:schemeClr val="bg2">
                <a:lumMod val="90000"/>
              </a:schemeClr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029" name="Rectangle 715">
              <a:extLst>
                <a:ext uri="{FF2B5EF4-FFF2-40B4-BE49-F238E27FC236}">
                  <a16:creationId xmlns:a16="http://schemas.microsoft.com/office/drawing/2014/main" id="{00000000-0008-0000-0000-000065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103"/>
              <a:ext cx="16" cy="18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030" name="Rectangle 716">
              <a:extLst>
                <a:ext uri="{FF2B5EF4-FFF2-40B4-BE49-F238E27FC236}">
                  <a16:creationId xmlns:a16="http://schemas.microsoft.com/office/drawing/2014/main" id="{00000000-0008-0000-0000-000066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081"/>
              <a:ext cx="15" cy="17"/>
            </a:xfrm>
            <a:prstGeom prst="rect">
              <a:avLst/>
            </a:prstGeom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031" name="Rectangle 717">
              <a:extLst>
                <a:ext uri="{FF2B5EF4-FFF2-40B4-BE49-F238E27FC236}">
                  <a16:creationId xmlns:a16="http://schemas.microsoft.com/office/drawing/2014/main" id="{00000000-0008-0000-0000-000067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149"/>
              <a:ext cx="15" cy="16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032" name="Rectangle 718">
              <a:extLst>
                <a:ext uri="{FF2B5EF4-FFF2-40B4-BE49-F238E27FC236}">
                  <a16:creationId xmlns:a16="http://schemas.microsoft.com/office/drawing/2014/main" id="{00000000-0008-0000-0000-000068E801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8" y="1175"/>
              <a:ext cx="16" cy="16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  <a:effectLst>
              <a:prstShdw prst="shdw13" dist="53882" dir="13500000">
                <a:srgbClr val="808080"/>
              </a:prstShdw>
            </a:effectLst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7103" name="Text Box 719">
              <a:extLst>
                <a:ext uri="{FF2B5EF4-FFF2-40B4-BE49-F238E27FC236}">
                  <a16:creationId xmlns:a16="http://schemas.microsoft.com/office/drawing/2014/main" id="{00000000-0008-0000-0000-0000CF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075"/>
              <a:ext cx="212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Obtido no desenho da instalação</a:t>
              </a:r>
            </a:p>
          </xdr:txBody>
        </xdr:sp>
        <xdr:sp macro="" textlink="">
          <xdr:nvSpPr>
            <xdr:cNvPr id="17104" name="Text Box 720">
              <a:extLst>
                <a:ext uri="{FF2B5EF4-FFF2-40B4-BE49-F238E27FC236}">
                  <a16:creationId xmlns:a16="http://schemas.microsoft.com/office/drawing/2014/main" id="{00000000-0008-0000-0000-0000D0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099"/>
              <a:ext cx="194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Dados de entrada / decisões</a:t>
              </a:r>
            </a:p>
          </xdr:txBody>
        </xdr:sp>
        <xdr:sp macro="" textlink="">
          <xdr:nvSpPr>
            <xdr:cNvPr id="17105" name="Text Box 721">
              <a:extLst>
                <a:ext uri="{FF2B5EF4-FFF2-40B4-BE49-F238E27FC236}">
                  <a16:creationId xmlns:a16="http://schemas.microsoft.com/office/drawing/2014/main" id="{00000000-0008-0000-0000-0000D1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122"/>
              <a:ext cx="217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Calculado com recurso a fórmulas</a:t>
              </a:r>
            </a:p>
          </xdr:txBody>
        </xdr:sp>
        <xdr:sp macro="" textlink="">
          <xdr:nvSpPr>
            <xdr:cNvPr id="17106" name="Text Box 722">
              <a:extLst>
                <a:ext uri="{FF2B5EF4-FFF2-40B4-BE49-F238E27FC236}">
                  <a16:creationId xmlns:a16="http://schemas.microsoft.com/office/drawing/2014/main" id="{00000000-0008-0000-0000-0000D2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146"/>
              <a:ext cx="257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Retirado de quadros de especificações</a:t>
              </a:r>
            </a:p>
          </xdr:txBody>
        </xdr:sp>
        <xdr:sp macro="" textlink="">
          <xdr:nvSpPr>
            <xdr:cNvPr id="17107" name="Text Box 723">
              <a:extLst>
                <a:ext uri="{FF2B5EF4-FFF2-40B4-BE49-F238E27FC236}">
                  <a16:creationId xmlns:a16="http://schemas.microsoft.com/office/drawing/2014/main" id="{00000000-0008-0000-0000-0000D3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170"/>
              <a:ext cx="142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Restrições / Alertas</a:t>
              </a:r>
            </a:p>
          </xdr:txBody>
        </xdr:sp>
        <xdr:sp macro="" textlink="">
          <xdr:nvSpPr>
            <xdr:cNvPr id="17108" name="Text Box 724">
              <a:extLst>
                <a:ext uri="{FF2B5EF4-FFF2-40B4-BE49-F238E27FC236}">
                  <a16:creationId xmlns:a16="http://schemas.microsoft.com/office/drawing/2014/main" id="{00000000-0008-0000-0000-0000D4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7" y="1193"/>
              <a:ext cx="142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Conclusões</a:t>
              </a:r>
            </a:p>
          </xdr:txBody>
        </xdr:sp>
        <xdr:sp macro="" textlink="">
          <xdr:nvSpPr>
            <xdr:cNvPr id="17109" name="Text Box 725">
              <a:extLst>
                <a:ext uri="{FF2B5EF4-FFF2-40B4-BE49-F238E27FC236}">
                  <a16:creationId xmlns:a16="http://schemas.microsoft.com/office/drawing/2014/main" id="{00000000-0008-0000-0000-0000D542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0" y="1055"/>
              <a:ext cx="140" cy="2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36000" tIns="46800" rIns="90000" bIns="46800" anchor="t" upright="1"/>
            <a:lstStyle/>
            <a:p>
              <a:pPr algn="l" rtl="0">
                <a:defRPr sz="1000"/>
              </a:pPr>
              <a:r>
                <a:rPr lang="pt-PT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Legenda</a:t>
              </a: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e </a:t>
              </a:r>
              <a:r>
                <a:rPr lang="pt-PT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nota</a:t>
              </a:r>
              <a:r>
                <a:rPr lang="pt-PT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(s):</a:t>
              </a:r>
            </a:p>
          </xdr:txBody>
        </xdr:sp>
      </xdr:grpSp>
    </xdr:grpSp>
    <xdr:clientData/>
  </xdr:twoCellAnchor>
  <xdr:twoCellAnchor editAs="absolute">
    <xdr:from>
      <xdr:col>1</xdr:col>
      <xdr:colOff>104780</xdr:colOff>
      <xdr:row>28</xdr:row>
      <xdr:rowOff>1366</xdr:rowOff>
    </xdr:from>
    <xdr:to>
      <xdr:col>3</xdr:col>
      <xdr:colOff>104780</xdr:colOff>
      <xdr:row>48</xdr:row>
      <xdr:rowOff>220436</xdr:rowOff>
    </xdr:to>
    <xdr:sp macro="" textlink="">
      <xdr:nvSpPr>
        <xdr:cNvPr id="17115" name="Text Box 731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SpPr txBox="1">
          <a:spLocks noChangeArrowheads="1"/>
        </xdr:cNvSpPr>
      </xdr:nvSpPr>
      <xdr:spPr bwMode="auto">
        <a:xfrm>
          <a:off x="104775" y="5143500"/>
          <a:ext cx="342900" cy="4752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270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Instalação Colectiva - Cálculos para Média Pressão - MP</a:t>
          </a:r>
        </a:p>
      </xdr:txBody>
    </xdr:sp>
    <xdr:clientData/>
  </xdr:twoCellAnchor>
  <xdr:twoCellAnchor>
    <xdr:from>
      <xdr:col>1</xdr:col>
      <xdr:colOff>76200</xdr:colOff>
      <xdr:row>24</xdr:row>
      <xdr:rowOff>0</xdr:rowOff>
    </xdr:from>
    <xdr:to>
      <xdr:col>4</xdr:col>
      <xdr:colOff>276225</xdr:colOff>
      <xdr:row>24</xdr:row>
      <xdr:rowOff>219075</xdr:rowOff>
    </xdr:to>
    <xdr:sp macro="" textlink="">
      <xdr:nvSpPr>
        <xdr:cNvPr id="17156" name="Text Box 772">
          <a:extLst>
            <a:ext uri="{FF2B5EF4-FFF2-40B4-BE49-F238E27FC236}">
              <a16:creationId xmlns:a16="http://schemas.microsoft.com/office/drawing/2014/main" id="{00000000-0008-0000-0000-000004430000}"/>
            </a:ext>
          </a:extLst>
        </xdr:cNvPr>
        <xdr:cNvSpPr txBox="1">
          <a:spLocks noChangeArrowheads="1"/>
        </xdr:cNvSpPr>
      </xdr:nvSpPr>
      <xdr:spPr bwMode="auto">
        <a:xfrm>
          <a:off x="76200" y="4048125"/>
          <a:ext cx="7334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1100" b="0" i="0" u="none" strike="noStrike" baseline="0">
              <a:solidFill>
                <a:srgbClr val="FFFFFF"/>
              </a:solidFill>
              <a:latin typeface="Arial"/>
              <a:cs typeface="Arial"/>
            </a:rPr>
            <a:t>Cálculos:</a:t>
          </a:r>
        </a:p>
      </xdr:txBody>
    </xdr:sp>
    <xdr:clientData/>
  </xdr:twoCellAnchor>
  <xdr:twoCellAnchor editAs="absolute">
    <xdr:from>
      <xdr:col>37</xdr:col>
      <xdr:colOff>355883</xdr:colOff>
      <xdr:row>14</xdr:row>
      <xdr:rowOff>190500</xdr:rowOff>
    </xdr:from>
    <xdr:to>
      <xdr:col>44</xdr:col>
      <xdr:colOff>3463</xdr:colOff>
      <xdr:row>16</xdr:row>
      <xdr:rowOff>28580</xdr:rowOff>
    </xdr:to>
    <xdr:sp macro="" textlink="">
      <xdr:nvSpPr>
        <xdr:cNvPr id="81" name="Text Box 686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4192250" y="3009900"/>
          <a:ext cx="17621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36000" tIns="36000" rIns="36000" bIns="36000" anchor="t" upright="1"/>
        <a:lstStyle/>
        <a:p>
          <a:pPr algn="l" rtl="0">
            <a:defRPr sz="1000"/>
          </a:pP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1)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deverá ser ≥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3,01 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</a:t>
          </a: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(st)/h</a:t>
          </a:r>
        </a:p>
      </xdr:txBody>
    </xdr:sp>
    <xdr:clientData/>
  </xdr:twoCellAnchor>
  <xdr:twoCellAnchor editAs="absolute">
    <xdr:from>
      <xdr:col>27</xdr:col>
      <xdr:colOff>365413</xdr:colOff>
      <xdr:row>14</xdr:row>
      <xdr:rowOff>161920</xdr:rowOff>
    </xdr:from>
    <xdr:to>
      <xdr:col>31</xdr:col>
      <xdr:colOff>470184</xdr:colOff>
      <xdr:row>16</xdr:row>
      <xdr:rowOff>0</xdr:rowOff>
    </xdr:to>
    <xdr:sp macro="" textlink="">
      <xdr:nvSpPr>
        <xdr:cNvPr id="82" name="Text Box 686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9267825" y="2981325"/>
          <a:ext cx="17621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36000" tIns="36000" rIns="36000" bIns="36000" anchor="t" upright="1"/>
        <a:lstStyle/>
        <a:p>
          <a:pPr algn="l" rtl="0">
            <a:defRPr sz="1000"/>
          </a:pP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1)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deverá ser ≥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3,01 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</a:t>
          </a: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(st)/h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48986</xdr:colOff>
          <xdr:row>8</xdr:row>
          <xdr:rowOff>21771</xdr:rowOff>
        </xdr:from>
        <xdr:to>
          <xdr:col>25</xdr:col>
          <xdr:colOff>560614</xdr:colOff>
          <xdr:row>9</xdr:row>
          <xdr:rowOff>0</xdr:rowOff>
        </xdr:to>
        <xdr:sp macro="" textlink="">
          <xdr:nvSpPr>
            <xdr:cNvPr id="16499" name="Drop Down 115" hidden="1">
              <a:extLst>
                <a:ext uri="{63B3BB69-23CF-44E3-9099-C40C66FF867C}">
                  <a14:compatExt spid="_x0000_s16499"/>
                </a:ext>
                <a:ext uri="{FF2B5EF4-FFF2-40B4-BE49-F238E27FC236}">
                  <a16:creationId xmlns:a16="http://schemas.microsoft.com/office/drawing/2014/main" id="{00000000-0008-0000-0000-00007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533400</xdr:colOff>
          <xdr:row>15</xdr:row>
          <xdr:rowOff>163286</xdr:rowOff>
        </xdr:from>
        <xdr:to>
          <xdr:col>35</xdr:col>
          <xdr:colOff>582386</xdr:colOff>
          <xdr:row>16</xdr:row>
          <xdr:rowOff>179614</xdr:rowOff>
        </xdr:to>
        <xdr:sp macro="" textlink="">
          <xdr:nvSpPr>
            <xdr:cNvPr id="16500" name="Button 116" hidden="1">
              <a:extLst>
                <a:ext uri="{63B3BB69-23CF-44E3-9099-C40C66FF867C}">
                  <a14:compatExt spid="_x0000_s16500"/>
                </a:ext>
                <a:ext uri="{FF2B5EF4-FFF2-40B4-BE49-F238E27FC236}">
                  <a16:creationId xmlns:a16="http://schemas.microsoft.com/office/drawing/2014/main" id="{00000000-0008-0000-0000-00007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t-PT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Limpar todos os dados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48986</xdr:colOff>
          <xdr:row>9</xdr:row>
          <xdr:rowOff>10886</xdr:rowOff>
        </xdr:from>
        <xdr:to>
          <xdr:col>25</xdr:col>
          <xdr:colOff>560614</xdr:colOff>
          <xdr:row>9</xdr:row>
          <xdr:rowOff>217714</xdr:rowOff>
        </xdr:to>
        <xdr:sp macro="" textlink="">
          <xdr:nvSpPr>
            <xdr:cNvPr id="16502" name="Drop Down 118" hidden="1">
              <a:extLst>
                <a:ext uri="{63B3BB69-23CF-44E3-9099-C40C66FF867C}">
                  <a14:compatExt spid="_x0000_s16502"/>
                </a:ext>
                <a:ext uri="{FF2B5EF4-FFF2-40B4-BE49-F238E27FC236}">
                  <a16:creationId xmlns:a16="http://schemas.microsoft.com/office/drawing/2014/main" id="{00000000-0008-0000-0000-00007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48986</xdr:colOff>
          <xdr:row>10</xdr:row>
          <xdr:rowOff>10886</xdr:rowOff>
        </xdr:from>
        <xdr:to>
          <xdr:col>25</xdr:col>
          <xdr:colOff>560614</xdr:colOff>
          <xdr:row>10</xdr:row>
          <xdr:rowOff>217714</xdr:rowOff>
        </xdr:to>
        <xdr:sp macro="" textlink="">
          <xdr:nvSpPr>
            <xdr:cNvPr id="16503" name="Drop Down 119" hidden="1">
              <a:extLst>
                <a:ext uri="{63B3BB69-23CF-44E3-9099-C40C66FF867C}">
                  <a14:compatExt spid="_x0000_s16503"/>
                </a:ext>
                <a:ext uri="{FF2B5EF4-FFF2-40B4-BE49-F238E27FC236}">
                  <a16:creationId xmlns:a16="http://schemas.microsoft.com/office/drawing/2014/main" id="{00000000-0008-0000-0000-00007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48986</xdr:colOff>
          <xdr:row>11</xdr:row>
          <xdr:rowOff>10886</xdr:rowOff>
        </xdr:from>
        <xdr:to>
          <xdr:col>25</xdr:col>
          <xdr:colOff>560614</xdr:colOff>
          <xdr:row>11</xdr:row>
          <xdr:rowOff>217714</xdr:rowOff>
        </xdr:to>
        <xdr:sp macro="" textlink="">
          <xdr:nvSpPr>
            <xdr:cNvPr id="16504" name="Drop Down 120" hidden="1">
              <a:extLst>
                <a:ext uri="{63B3BB69-23CF-44E3-9099-C40C66FF867C}">
                  <a14:compatExt spid="_x0000_s16504"/>
                </a:ext>
                <a:ext uri="{FF2B5EF4-FFF2-40B4-BE49-F238E27FC236}">
                  <a16:creationId xmlns:a16="http://schemas.microsoft.com/office/drawing/2014/main" id="{00000000-0008-0000-0000-00007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48986</xdr:colOff>
          <xdr:row>12</xdr:row>
          <xdr:rowOff>0</xdr:rowOff>
        </xdr:from>
        <xdr:to>
          <xdr:col>25</xdr:col>
          <xdr:colOff>560614</xdr:colOff>
          <xdr:row>12</xdr:row>
          <xdr:rowOff>212271</xdr:rowOff>
        </xdr:to>
        <xdr:sp macro="" textlink="">
          <xdr:nvSpPr>
            <xdr:cNvPr id="16505" name="Drop Down 121" hidden="1">
              <a:extLst>
                <a:ext uri="{63B3BB69-23CF-44E3-9099-C40C66FF867C}">
                  <a14:compatExt spid="_x0000_s16505"/>
                </a:ext>
                <a:ext uri="{FF2B5EF4-FFF2-40B4-BE49-F238E27FC236}">
                  <a16:creationId xmlns:a16="http://schemas.microsoft.com/office/drawing/2014/main" id="{00000000-0008-0000-0000-00007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59871</xdr:colOff>
          <xdr:row>8</xdr:row>
          <xdr:rowOff>10886</xdr:rowOff>
        </xdr:from>
        <xdr:to>
          <xdr:col>35</xdr:col>
          <xdr:colOff>647700</xdr:colOff>
          <xdr:row>8</xdr:row>
          <xdr:rowOff>217714</xdr:rowOff>
        </xdr:to>
        <xdr:sp macro="" textlink="">
          <xdr:nvSpPr>
            <xdr:cNvPr id="16506" name="Drop Down 122" hidden="1">
              <a:extLst>
                <a:ext uri="{63B3BB69-23CF-44E3-9099-C40C66FF867C}">
                  <a14:compatExt spid="_x0000_s16506"/>
                </a:ext>
                <a:ext uri="{FF2B5EF4-FFF2-40B4-BE49-F238E27FC236}">
                  <a16:creationId xmlns:a16="http://schemas.microsoft.com/office/drawing/2014/main" id="{00000000-0008-0000-0000-00007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59871</xdr:colOff>
          <xdr:row>9</xdr:row>
          <xdr:rowOff>10886</xdr:rowOff>
        </xdr:from>
        <xdr:to>
          <xdr:col>35</xdr:col>
          <xdr:colOff>647700</xdr:colOff>
          <xdr:row>9</xdr:row>
          <xdr:rowOff>217714</xdr:rowOff>
        </xdr:to>
        <xdr:sp macro="" textlink="">
          <xdr:nvSpPr>
            <xdr:cNvPr id="16507" name="Drop Down 123" hidden="1">
              <a:extLst>
                <a:ext uri="{63B3BB69-23CF-44E3-9099-C40C66FF867C}">
                  <a14:compatExt spid="_x0000_s16507"/>
                </a:ext>
                <a:ext uri="{FF2B5EF4-FFF2-40B4-BE49-F238E27FC236}">
                  <a16:creationId xmlns:a16="http://schemas.microsoft.com/office/drawing/2014/main" id="{00000000-0008-0000-0000-00007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59871</xdr:colOff>
          <xdr:row>10</xdr:row>
          <xdr:rowOff>10886</xdr:rowOff>
        </xdr:from>
        <xdr:to>
          <xdr:col>35</xdr:col>
          <xdr:colOff>647700</xdr:colOff>
          <xdr:row>10</xdr:row>
          <xdr:rowOff>217714</xdr:rowOff>
        </xdr:to>
        <xdr:sp macro="" textlink="">
          <xdr:nvSpPr>
            <xdr:cNvPr id="16508" name="Drop Down 124" hidden="1">
              <a:extLst>
                <a:ext uri="{63B3BB69-23CF-44E3-9099-C40C66FF867C}">
                  <a14:compatExt spid="_x0000_s16508"/>
                </a:ext>
                <a:ext uri="{FF2B5EF4-FFF2-40B4-BE49-F238E27FC236}">
                  <a16:creationId xmlns:a16="http://schemas.microsoft.com/office/drawing/2014/main" id="{00000000-0008-0000-0000-00007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59871</xdr:colOff>
          <xdr:row>11</xdr:row>
          <xdr:rowOff>0</xdr:rowOff>
        </xdr:from>
        <xdr:to>
          <xdr:col>35</xdr:col>
          <xdr:colOff>647700</xdr:colOff>
          <xdr:row>11</xdr:row>
          <xdr:rowOff>212271</xdr:rowOff>
        </xdr:to>
        <xdr:sp macro="" textlink="">
          <xdr:nvSpPr>
            <xdr:cNvPr id="16509" name="Drop Down 125" hidden="1">
              <a:extLst>
                <a:ext uri="{63B3BB69-23CF-44E3-9099-C40C66FF867C}">
                  <a14:compatExt spid="_x0000_s16509"/>
                </a:ext>
                <a:ext uri="{FF2B5EF4-FFF2-40B4-BE49-F238E27FC236}">
                  <a16:creationId xmlns:a16="http://schemas.microsoft.com/office/drawing/2014/main" id="{00000000-0008-0000-0000-00007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59871</xdr:colOff>
          <xdr:row>12</xdr:row>
          <xdr:rowOff>0</xdr:rowOff>
        </xdr:from>
        <xdr:to>
          <xdr:col>35</xdr:col>
          <xdr:colOff>647700</xdr:colOff>
          <xdr:row>12</xdr:row>
          <xdr:rowOff>212271</xdr:rowOff>
        </xdr:to>
        <xdr:sp macro="" textlink="">
          <xdr:nvSpPr>
            <xdr:cNvPr id="16510" name="Drop Down 126" hidden="1">
              <a:extLst>
                <a:ext uri="{63B3BB69-23CF-44E3-9099-C40C66FF867C}">
                  <a14:compatExt spid="_x0000_s16510"/>
                </a:ext>
                <a:ext uri="{FF2B5EF4-FFF2-40B4-BE49-F238E27FC236}">
                  <a16:creationId xmlns:a16="http://schemas.microsoft.com/office/drawing/2014/main" id="{00000000-0008-0000-0000-00007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3</xdr:row>
          <xdr:rowOff>250371</xdr:rowOff>
        </xdr:from>
        <xdr:to>
          <xdr:col>9</xdr:col>
          <xdr:colOff>478971</xdr:colOff>
          <xdr:row>4</xdr:row>
          <xdr:rowOff>190500</xdr:rowOff>
        </xdr:to>
        <xdr:sp macro="" textlink="">
          <xdr:nvSpPr>
            <xdr:cNvPr id="16902" name="Drop Down 518" hidden="1">
              <a:extLst>
                <a:ext uri="{63B3BB69-23CF-44E3-9099-C40C66FF867C}">
                  <a14:compatExt spid="_x0000_s16902"/>
                </a:ext>
                <a:ext uri="{FF2B5EF4-FFF2-40B4-BE49-F238E27FC236}">
                  <a16:creationId xmlns:a16="http://schemas.microsoft.com/office/drawing/2014/main" id="{00000000-0008-0000-0000-0000064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38101</xdr:colOff>
      <xdr:row>5</xdr:row>
      <xdr:rowOff>27214</xdr:rowOff>
    </xdr:from>
    <xdr:to>
      <xdr:col>2</xdr:col>
      <xdr:colOff>63636</xdr:colOff>
      <xdr:row>14</xdr:row>
      <xdr:rowOff>182807</xdr:rowOff>
    </xdr:to>
    <xdr:grpSp>
      <xdr:nvGrpSpPr>
        <xdr:cNvPr id="78" name="Agrupar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pSpPr/>
      </xdr:nvGrpSpPr>
      <xdr:grpSpPr>
        <a:xfrm>
          <a:off x="38101" y="848590"/>
          <a:ext cx="297678" cy="2134814"/>
          <a:chOff x="10000209" y="585737"/>
          <a:chExt cx="297678" cy="2153286"/>
        </a:xfrm>
      </xdr:grpSpPr>
      <xdr:sp macro="" textlink="">
        <xdr:nvSpPr>
          <xdr:cNvPr id="79" name="Retângulo: Cantos Arredondados 78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 bwMode="auto">
          <a:xfrm>
            <a:off x="10000209" y="585737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1.1</a:t>
            </a:r>
          </a:p>
        </xdr:txBody>
      </xdr:sp>
      <xdr:sp macro="" textlink="">
        <xdr:nvSpPr>
          <xdr:cNvPr id="80" name="Retângulo: Cantos Arredondados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 bwMode="auto">
          <a:xfrm>
            <a:off x="10000209" y="789676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1.2</a:t>
            </a:r>
          </a:p>
        </xdr:txBody>
      </xdr:sp>
      <xdr:sp macro="" textlink="">
        <xdr:nvSpPr>
          <xdr:cNvPr id="83" name="Retângulo: Cantos Arredondados 82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/>
        </xdr:nvSpPr>
        <xdr:spPr bwMode="auto">
          <a:xfrm>
            <a:off x="10000209" y="989430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1.3</a:t>
            </a:r>
          </a:p>
        </xdr:txBody>
      </xdr:sp>
      <xdr:sp macro="" textlink="">
        <xdr:nvSpPr>
          <xdr:cNvPr id="86" name="Retângulo: Cantos Arredondados 85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 bwMode="auto">
          <a:xfrm>
            <a:off x="10000209" y="1454452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7.1</a:t>
            </a:r>
          </a:p>
        </xdr:txBody>
      </xdr:sp>
      <xdr:sp macro="" textlink="">
        <xdr:nvSpPr>
          <xdr:cNvPr id="87" name="Retângulo: Cantos Arredondados 86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 bwMode="auto">
          <a:xfrm>
            <a:off x="10000209" y="1690003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9.4</a:t>
            </a:r>
          </a:p>
        </xdr:txBody>
      </xdr:sp>
      <xdr:sp macro="" textlink="">
        <xdr:nvSpPr>
          <xdr:cNvPr id="88" name="Retângulo: Cantos Arredondados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 bwMode="auto">
          <a:xfrm>
            <a:off x="10000209" y="1900727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10.2</a:t>
            </a:r>
          </a:p>
        </xdr:txBody>
      </xdr:sp>
      <xdr:sp macro="" textlink="">
        <xdr:nvSpPr>
          <xdr:cNvPr id="89" name="Retângulo: Cantos Arredondados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/>
        </xdr:nvSpPr>
        <xdr:spPr bwMode="auto">
          <a:xfrm>
            <a:off x="10000209" y="2132091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3.3</a:t>
            </a:r>
          </a:p>
        </xdr:txBody>
      </xdr:sp>
      <xdr:sp macro="" textlink="">
        <xdr:nvSpPr>
          <xdr:cNvPr id="90" name="Retângulo: Cantos Arredondados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 bwMode="auto">
          <a:xfrm>
            <a:off x="10000209" y="2342814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5.1</a:t>
            </a:r>
          </a:p>
        </xdr:txBody>
      </xdr:sp>
      <xdr:sp macro="" textlink="">
        <xdr:nvSpPr>
          <xdr:cNvPr id="91" name="Retângulo: Cantos Arredondados 90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 bwMode="auto">
          <a:xfrm>
            <a:off x="10000209" y="2559023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7.2</a:t>
            </a:r>
          </a:p>
        </xdr:txBody>
      </xdr:sp>
    </xdr:grpSp>
    <xdr:clientData/>
  </xdr:twoCellAnchor>
  <xdr:twoCellAnchor editAs="absolute">
    <xdr:from>
      <xdr:col>1</xdr:col>
      <xdr:colOff>38101</xdr:colOff>
      <xdr:row>4</xdr:row>
      <xdr:rowOff>16328</xdr:rowOff>
    </xdr:from>
    <xdr:to>
      <xdr:col>3</xdr:col>
      <xdr:colOff>200025</xdr:colOff>
      <xdr:row>4</xdr:row>
      <xdr:rowOff>200026</xdr:rowOff>
    </xdr:to>
    <xdr:sp macro="" textlink="">
      <xdr:nvSpPr>
        <xdr:cNvPr id="93" name="Retângulo: Cantos Arredondados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 bwMode="auto">
        <a:xfrm>
          <a:off x="38101" y="635453"/>
          <a:ext cx="504824" cy="183698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0" tIns="0" rIns="0" bIns="0" rtlCol="0" anchor="ctr" upright="1"/>
        <a:lstStyle/>
        <a:p>
          <a:pPr algn="l"/>
          <a:r>
            <a: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Quadr</a:t>
          </a:r>
          <a:r>
            <a:rPr lang="pt-PT" sz="900" b="0" cap="none" spc="0" baseline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o 0</a:t>
          </a:r>
          <a:endParaRPr lang="pt-PT" sz="9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38101</xdr:colOff>
      <xdr:row>1</xdr:row>
      <xdr:rowOff>0</xdr:rowOff>
    </xdr:from>
    <xdr:to>
      <xdr:col>18</xdr:col>
      <xdr:colOff>13887</xdr:colOff>
      <xdr:row>2</xdr:row>
      <xdr:rowOff>21771</xdr:rowOff>
    </xdr:to>
    <xdr:sp macro="" textlink="">
      <xdr:nvSpPr>
        <xdr:cNvPr id="94" name="Retângulo: Cantos Arredondados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 bwMode="auto">
        <a:xfrm>
          <a:off x="38101" y="43543"/>
          <a:ext cx="6480000" cy="288471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6000">
              <a:schemeClr val="accent6">
                <a:lumMod val="75000"/>
              </a:schemeClr>
            </a:gs>
            <a:gs pos="46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Instalação Colectiva (Dimensionamento para Média Pressão - MP)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38097</xdr:colOff>
      <xdr:row>3</xdr:row>
      <xdr:rowOff>5442</xdr:rowOff>
    </xdr:from>
    <xdr:to>
      <xdr:col>9</xdr:col>
      <xdr:colOff>528205</xdr:colOff>
      <xdr:row>3</xdr:row>
      <xdr:rowOff>239442</xdr:rowOff>
    </xdr:to>
    <xdr:sp macro="" textlink="">
      <xdr:nvSpPr>
        <xdr:cNvPr id="95" name="Retângulo: Cantos Arredondados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 bwMode="auto">
        <a:xfrm>
          <a:off x="38097" y="386442"/>
          <a:ext cx="3261017" cy="234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8000">
              <a:schemeClr val="accent6">
                <a:lumMod val="75000"/>
              </a:schemeClr>
            </a:gs>
            <a:gs pos="52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36000" tIns="0" rIns="0" bIns="0" rtlCol="0" anchor="t" anchorCtr="0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2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e Especificações:</a:t>
          </a:r>
          <a:endParaRPr lang="pt-PT" sz="1200">
            <a:effectLst/>
          </a:endParaRPr>
        </a:p>
      </xdr:txBody>
    </xdr:sp>
    <xdr:clientData/>
  </xdr:twoCellAnchor>
  <xdr:twoCellAnchor>
    <xdr:from>
      <xdr:col>10</xdr:col>
      <xdr:colOff>8659</xdr:colOff>
      <xdr:row>3</xdr:row>
      <xdr:rowOff>5442</xdr:rowOff>
    </xdr:from>
    <xdr:to>
      <xdr:col>10</xdr:col>
      <xdr:colOff>555400</xdr:colOff>
      <xdr:row>3</xdr:row>
      <xdr:rowOff>239442</xdr:rowOff>
    </xdr:to>
    <xdr:sp macro="" textlink="">
      <xdr:nvSpPr>
        <xdr:cNvPr id="97" name="Retângulo: Cantos Arredondados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 bwMode="auto">
        <a:xfrm>
          <a:off x="3325091" y="386442"/>
          <a:ext cx="546741" cy="234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8000">
              <a:schemeClr val="accent6">
                <a:lumMod val="75000"/>
              </a:schemeClr>
            </a:gs>
            <a:gs pos="52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0" tIns="0" rIns="0" bIns="0" rtlCol="0" anchor="ctr" anchorCtr="0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1200" b="0" i="0" spc="-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Decisões</a:t>
          </a:r>
          <a:endParaRPr lang="pt-PT" sz="1200" spc="-100" baseline="0">
            <a:effectLst/>
          </a:endParaRPr>
        </a:p>
      </xdr:txBody>
    </xdr:sp>
    <xdr:clientData/>
  </xdr:twoCellAnchor>
  <xdr:twoCellAnchor>
    <xdr:from>
      <xdr:col>11</xdr:col>
      <xdr:colOff>21765</xdr:colOff>
      <xdr:row>3</xdr:row>
      <xdr:rowOff>5442</xdr:rowOff>
    </xdr:from>
    <xdr:to>
      <xdr:col>12</xdr:col>
      <xdr:colOff>9936</xdr:colOff>
      <xdr:row>3</xdr:row>
      <xdr:rowOff>239442</xdr:rowOff>
    </xdr:to>
    <xdr:sp macro="" textlink="">
      <xdr:nvSpPr>
        <xdr:cNvPr id="98" name="Retângulo: Cantos Arredondados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 bwMode="auto">
        <a:xfrm>
          <a:off x="4060365" y="370113"/>
          <a:ext cx="576000" cy="234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8000">
              <a:schemeClr val="accent6">
                <a:lumMod val="75000"/>
              </a:schemeClr>
            </a:gs>
            <a:gs pos="52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0" tIns="0" rIns="0" bIns="0" rtlCol="0" anchor="ctr" anchorCtr="0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1200" b="0" i="0" spc="-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Adoptado</a:t>
          </a:r>
          <a:endParaRPr lang="pt-PT" sz="1200" spc="-100" baseline="0">
            <a:effectLst/>
          </a:endParaRPr>
        </a:p>
      </xdr:txBody>
    </xdr:sp>
    <xdr:clientData/>
  </xdr:twoCellAnchor>
  <xdr:twoCellAnchor>
    <xdr:from>
      <xdr:col>12</xdr:col>
      <xdr:colOff>43531</xdr:colOff>
      <xdr:row>3</xdr:row>
      <xdr:rowOff>5442</xdr:rowOff>
    </xdr:from>
    <xdr:to>
      <xdr:col>18</xdr:col>
      <xdr:colOff>19746</xdr:colOff>
      <xdr:row>3</xdr:row>
      <xdr:rowOff>239442</xdr:rowOff>
    </xdr:to>
    <xdr:sp macro="" textlink="">
      <xdr:nvSpPr>
        <xdr:cNvPr id="99" name="Retângulo: Cantos Arredondados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 bwMode="auto">
        <a:xfrm>
          <a:off x="4669960" y="370113"/>
          <a:ext cx="1854000" cy="234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8000">
              <a:schemeClr val="accent6">
                <a:lumMod val="75000"/>
              </a:schemeClr>
            </a:gs>
            <a:gs pos="52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0" tIns="0" rIns="0" bIns="0" rtlCol="0" anchor="ctr" anchorCtr="0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12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Observações</a:t>
          </a:r>
          <a:endParaRPr lang="pt-PT" sz="1200">
            <a:effectLst/>
          </a:endParaRPr>
        </a:p>
      </xdr:txBody>
    </xdr:sp>
    <xdr:clientData/>
  </xdr:twoCellAnchor>
  <xdr:twoCellAnchor>
    <xdr:from>
      <xdr:col>29</xdr:col>
      <xdr:colOff>48986</xdr:colOff>
      <xdr:row>13</xdr:row>
      <xdr:rowOff>18422</xdr:rowOff>
    </xdr:from>
    <xdr:to>
      <xdr:col>30</xdr:col>
      <xdr:colOff>3764</xdr:colOff>
      <xdr:row>18</xdr:row>
      <xdr:rowOff>193695</xdr:rowOff>
    </xdr:to>
    <xdr:grpSp>
      <xdr:nvGrpSpPr>
        <xdr:cNvPr id="100" name="Agrupar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GrpSpPr/>
      </xdr:nvGrpSpPr>
      <xdr:grpSpPr>
        <a:xfrm>
          <a:off x="10672453" y="2601305"/>
          <a:ext cx="296194" cy="1224260"/>
          <a:chOff x="10000209" y="1542089"/>
          <a:chExt cx="297678" cy="1180603"/>
        </a:xfrm>
      </xdr:grpSpPr>
      <xdr:sp macro="" textlink="">
        <xdr:nvSpPr>
          <xdr:cNvPr id="104" name="Retângulo: Cantos Arredondados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 bwMode="auto">
          <a:xfrm>
            <a:off x="10000209" y="1542089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1.9</a:t>
            </a:r>
          </a:p>
        </xdr:txBody>
      </xdr:sp>
      <xdr:sp macro="" textlink="">
        <xdr:nvSpPr>
          <xdr:cNvPr id="107" name="Retângulo: Cantos Arredondados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 bwMode="auto">
          <a:xfrm>
            <a:off x="10000209" y="2143061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4.1</a:t>
            </a:r>
          </a:p>
        </xdr:txBody>
      </xdr:sp>
      <xdr:sp macro="" textlink="">
        <xdr:nvSpPr>
          <xdr:cNvPr id="108" name="Retângulo: Cantos Arredondados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 bwMode="auto">
          <a:xfrm>
            <a:off x="10000209" y="2342937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4.2</a:t>
            </a:r>
          </a:p>
        </xdr:txBody>
      </xdr:sp>
      <xdr:sp macro="" textlink="">
        <xdr:nvSpPr>
          <xdr:cNvPr id="109" name="Retângulo: Cantos Arredondados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 bwMode="auto">
          <a:xfrm>
            <a:off x="10000209" y="2542692"/>
            <a:ext cx="297678" cy="1800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5.1</a:t>
            </a:r>
          </a:p>
        </xdr:txBody>
      </xdr:sp>
    </xdr:grpSp>
    <xdr:clientData/>
  </xdr:twoCellAnchor>
  <xdr:twoCellAnchor>
    <xdr:from>
      <xdr:col>39</xdr:col>
      <xdr:colOff>43542</xdr:colOff>
      <xdr:row>13</xdr:row>
      <xdr:rowOff>23859</xdr:rowOff>
    </xdr:from>
    <xdr:to>
      <xdr:col>40</xdr:col>
      <xdr:colOff>20091</xdr:colOff>
      <xdr:row>13</xdr:row>
      <xdr:rowOff>202480</xdr:rowOff>
    </xdr:to>
    <xdr:sp macro="" textlink="">
      <xdr:nvSpPr>
        <xdr:cNvPr id="111" name="Retângulo: Cantos Arredondados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 bwMode="auto">
        <a:xfrm>
          <a:off x="15844156" y="2603773"/>
          <a:ext cx="297678" cy="178621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1.9</a:t>
          </a:r>
        </a:p>
      </xdr:txBody>
    </xdr:sp>
    <xdr:clientData/>
  </xdr:twoCellAnchor>
  <xdr:twoCellAnchor>
    <xdr:from>
      <xdr:col>32</xdr:col>
      <xdr:colOff>502228</xdr:colOff>
      <xdr:row>49</xdr:row>
      <xdr:rowOff>59870</xdr:rowOff>
    </xdr:from>
    <xdr:to>
      <xdr:col>38</xdr:col>
      <xdr:colOff>303955</xdr:colOff>
      <xdr:row>51</xdr:row>
      <xdr:rowOff>195942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2288488" y="9896597"/>
          <a:ext cx="3215882" cy="531917"/>
          <a:chOff x="12257638" y="9857013"/>
          <a:chExt cx="3199230" cy="533400"/>
        </a:xfrm>
      </xdr:grpSpPr>
      <xdr:sp macro="" textlink="">
        <xdr:nvSpPr>
          <xdr:cNvPr id="116" name="Rectangle 17">
            <a:extLst>
              <a:ext uri="{FF2B5EF4-FFF2-40B4-BE49-F238E27FC236}">
                <a16:creationId xmlns:a16="http://schemas.microsoft.com/office/drawing/2014/main" id="{00000000-0008-0000-0000-000074000000}"/>
              </a:ext>
            </a:extLst>
          </xdr:cNvPr>
          <xdr:cNvSpPr>
            <a:spLocks noChangeArrowheads="1"/>
          </xdr:cNvSpPr>
        </xdr:nvSpPr>
        <xdr:spPr bwMode="auto">
          <a:xfrm>
            <a:off x="13841371" y="10199303"/>
            <a:ext cx="476436" cy="106680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/>
          <a:lstStyle/>
          <a:p>
            <a:endParaRPr lang="pt-PT"/>
          </a:p>
        </xdr:txBody>
      </xdr:sp>
      <xdr:sp macro="" textlink="">
        <xdr:nvSpPr>
          <xdr:cNvPr id="117" name="AutoShape 20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2364142" y="9866711"/>
            <a:ext cx="1591730" cy="514003"/>
          </a:xfrm>
          <a:prstGeom prst="upArrowCallout">
            <a:avLst>
              <a:gd name="adj1" fmla="val 25931"/>
              <a:gd name="adj2" fmla="val 32902"/>
              <a:gd name="adj3" fmla="val 30356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18" name="AutoShape 5425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Arrowheads="1"/>
          </xdr:cNvSpPr>
        </xdr:nvSpPr>
        <xdr:spPr bwMode="auto">
          <a:xfrm>
            <a:off x="14395532" y="9857013"/>
            <a:ext cx="1028669" cy="533400"/>
          </a:xfrm>
          <a:prstGeom prst="upArrowCallout">
            <a:avLst>
              <a:gd name="adj1" fmla="val 26052"/>
              <a:gd name="adj2" fmla="val 31075"/>
              <a:gd name="adj3" fmla="val 30190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19" name="Retângulo: Cantos Arredondados 11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/>
        </xdr:nvSpPr>
        <xdr:spPr bwMode="auto">
          <a:xfrm>
            <a:off x="12257638" y="10110537"/>
            <a:ext cx="1780378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0" tIns="0" rIns="0" bIns="0" rtlCol="0" anchor="ctr" upright="1"/>
          <a:lstStyle/>
          <a:p>
            <a:pPr algn="ctr"/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 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≤ </a:t>
            </a:r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20" name="Retângulo: Cantos Arredondados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/>
        </xdr:nvSpPr>
        <xdr:spPr bwMode="auto">
          <a:xfrm>
            <a:off x="14304868" y="10110537"/>
            <a:ext cx="1152000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ctr"/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V ≤ V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 editAs="oneCell">
    <xdr:from>
      <xdr:col>29</xdr:col>
      <xdr:colOff>32657</xdr:colOff>
      <xdr:row>49</xdr:row>
      <xdr:rowOff>125185</xdr:rowOff>
    </xdr:from>
    <xdr:to>
      <xdr:col>32</xdr:col>
      <xdr:colOff>521833</xdr:colOff>
      <xdr:row>56</xdr:row>
      <xdr:rowOff>56892</xdr:rowOff>
    </xdr:to>
    <xdr:pic>
      <xdr:nvPicPr>
        <xdr:cNvPr id="85" name="Imagem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06" r="10903"/>
        <a:stretch/>
      </xdr:blipFill>
      <xdr:spPr>
        <a:xfrm>
          <a:off x="10608128" y="9949542"/>
          <a:ext cx="1649186" cy="1314193"/>
        </a:xfrm>
        <a:prstGeom prst="rect">
          <a:avLst/>
        </a:prstGeom>
        <a:effectLst>
          <a:softEdge rad="101600"/>
        </a:effectLst>
      </xdr:spPr>
    </xdr:pic>
    <xdr:clientData/>
  </xdr:twoCellAnchor>
  <xdr:twoCellAnchor editAs="oneCell">
    <xdr:from>
      <xdr:col>39</xdr:col>
      <xdr:colOff>5442</xdr:colOff>
      <xdr:row>4</xdr:row>
      <xdr:rowOff>5443</xdr:rowOff>
    </xdr:from>
    <xdr:to>
      <xdr:col>44</xdr:col>
      <xdr:colOff>21090</xdr:colOff>
      <xdr:row>8</xdr:row>
      <xdr:rowOff>17690</xdr:rowOff>
    </xdr:to>
    <xdr:pic>
      <xdr:nvPicPr>
        <xdr:cNvPr id="92" name="Picture 187" descr="Imagem Instalação Gás à vista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000"/>
                  </a14:imgEffect>
                  <a14:imgEffect>
                    <a14:saturation sat="15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8351" y="637557"/>
          <a:ext cx="1020103" cy="843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301833</xdr:colOff>
      <xdr:row>52</xdr:row>
      <xdr:rowOff>14845</xdr:rowOff>
    </xdr:from>
    <xdr:to>
      <xdr:col>42</xdr:col>
      <xdr:colOff>306780</xdr:colOff>
      <xdr:row>57</xdr:row>
      <xdr:rowOff>76378</xdr:rowOff>
    </xdr:to>
    <xdr:grpSp>
      <xdr:nvGrpSpPr>
        <xdr:cNvPr id="84" name="Agrupar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GrpSpPr/>
      </xdr:nvGrpSpPr>
      <xdr:grpSpPr>
        <a:xfrm>
          <a:off x="14977755" y="10475027"/>
          <a:ext cx="1712025" cy="932390"/>
          <a:chOff x="15881769" y="11053948"/>
          <a:chExt cx="1687639" cy="881920"/>
        </a:xfrm>
      </xdr:grpSpPr>
      <xdr:pic>
        <xdr:nvPicPr>
          <xdr:cNvPr id="96" name="Picture 5501" descr="Resize of logoapta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75413" y="11053948"/>
            <a:ext cx="1133453" cy="6659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1" name="Text Box 5512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46899" y="11765940"/>
            <a:ext cx="1422509" cy="1583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 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102" name="Text Box 551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81769" y="11430224"/>
            <a:ext cx="818260" cy="1976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</xdr:txBody>
      </xdr:sp>
      <xdr:sp macro="" textlink="">
        <xdr:nvSpPr>
          <xdr:cNvPr id="103" name="Text Box 5510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22558" y="11741615"/>
            <a:ext cx="335959" cy="194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  <xdr:sp macro="" textlink="">
        <xdr:nvSpPr>
          <xdr:cNvPr id="105" name="Text Box 5515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18384" y="11603181"/>
            <a:ext cx="751603" cy="17318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25</xdr:row>
      <xdr:rowOff>9525</xdr:rowOff>
    </xdr:from>
    <xdr:to>
      <xdr:col>1</xdr:col>
      <xdr:colOff>314325</xdr:colOff>
      <xdr:row>34</xdr:row>
      <xdr:rowOff>142875</xdr:rowOff>
    </xdr:to>
    <xdr:sp macro="" textlink="">
      <xdr:nvSpPr>
        <xdr:cNvPr id="17513" name="Text Box 105">
          <a:extLst>
            <a:ext uri="{FF2B5EF4-FFF2-40B4-BE49-F238E27FC236}">
              <a16:creationId xmlns:a16="http://schemas.microsoft.com/office/drawing/2014/main" id="{00000000-0008-0000-0100-000069440000}"/>
            </a:ext>
          </a:extLst>
        </xdr:cNvPr>
        <xdr:cNvSpPr txBox="1">
          <a:spLocks noChangeArrowheads="1"/>
        </xdr:cNvSpPr>
      </xdr:nvSpPr>
      <xdr:spPr bwMode="auto">
        <a:xfrm>
          <a:off x="142875" y="4514850"/>
          <a:ext cx="238125" cy="2190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270" wrap="square" lIns="27432" tIns="27432" rIns="27432" bIns="27432" anchor="ctr" upright="1"/>
        <a:lstStyle/>
        <a:p>
          <a:pPr algn="ctr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1ª Instalação Individual - BP </a:t>
          </a:r>
        </a:p>
      </xdr:txBody>
    </xdr:sp>
    <xdr:clientData/>
  </xdr:twoCellAnchor>
  <xdr:twoCellAnchor>
    <xdr:from>
      <xdr:col>1</xdr:col>
      <xdr:colOff>76200</xdr:colOff>
      <xdr:row>46</xdr:row>
      <xdr:rowOff>28575</xdr:rowOff>
    </xdr:from>
    <xdr:to>
      <xdr:col>1</xdr:col>
      <xdr:colOff>285750</xdr:colOff>
      <xdr:row>55</xdr:row>
      <xdr:rowOff>209550</xdr:rowOff>
    </xdr:to>
    <xdr:sp macro="" textlink="">
      <xdr:nvSpPr>
        <xdr:cNvPr id="17514" name="Text Box 106">
          <a:extLst>
            <a:ext uri="{FF2B5EF4-FFF2-40B4-BE49-F238E27FC236}">
              <a16:creationId xmlns:a16="http://schemas.microsoft.com/office/drawing/2014/main" id="{00000000-0008-0000-0100-00006A440000}"/>
            </a:ext>
          </a:extLst>
        </xdr:cNvPr>
        <xdr:cNvSpPr txBox="1">
          <a:spLocks noChangeArrowheads="1"/>
        </xdr:cNvSpPr>
      </xdr:nvSpPr>
      <xdr:spPr bwMode="auto">
        <a:xfrm>
          <a:off x="142875" y="7943850"/>
          <a:ext cx="209550" cy="2238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270" wrap="square" lIns="27432" tIns="27432" rIns="27432" bIns="27432" anchor="ctr" upright="1"/>
        <a:lstStyle/>
        <a:p>
          <a:pPr algn="ctr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2ª Instalação Individual - BP </a:t>
          </a:r>
        </a:p>
      </xdr:txBody>
    </xdr:sp>
    <xdr:clientData/>
  </xdr:twoCellAnchor>
  <xdr:twoCellAnchor editAs="absolute">
    <xdr:from>
      <xdr:col>27</xdr:col>
      <xdr:colOff>76200</xdr:colOff>
      <xdr:row>63</xdr:row>
      <xdr:rowOff>17191</xdr:rowOff>
    </xdr:from>
    <xdr:to>
      <xdr:col>37</xdr:col>
      <xdr:colOff>114300</xdr:colOff>
      <xdr:row>69</xdr:row>
      <xdr:rowOff>102727</xdr:rowOff>
    </xdr:to>
    <xdr:grpSp>
      <xdr:nvGrpSpPr>
        <xdr:cNvPr id="39553" name="Group 209">
          <a:extLst>
            <a:ext uri="{FF2B5EF4-FFF2-40B4-BE49-F238E27FC236}">
              <a16:creationId xmlns:a16="http://schemas.microsoft.com/office/drawing/2014/main" id="{00000000-0008-0000-0100-0000819A0000}"/>
            </a:ext>
          </a:extLst>
        </xdr:cNvPr>
        <xdr:cNvGrpSpPr>
          <a:grpSpLocks/>
        </xdr:cNvGrpSpPr>
      </xdr:nvGrpSpPr>
      <xdr:grpSpPr bwMode="auto">
        <a:xfrm>
          <a:off x="10180122" y="10724776"/>
          <a:ext cx="4694217" cy="1307705"/>
          <a:chOff x="674" y="1149"/>
          <a:chExt cx="466" cy="140"/>
        </a:xfrm>
      </xdr:grpSpPr>
      <xdr:sp macro="" textlink="">
        <xdr:nvSpPr>
          <xdr:cNvPr id="17573" name="Text Box 165">
            <a:extLst>
              <a:ext uri="{FF2B5EF4-FFF2-40B4-BE49-F238E27FC236}">
                <a16:creationId xmlns:a16="http://schemas.microsoft.com/office/drawing/2014/main" id="{00000000-0008-0000-0100-0000A5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5" y="1175"/>
            <a:ext cx="465" cy="47"/>
          </a:xfrm>
          <a:prstGeom prst="rect">
            <a:avLst/>
          </a:prstGeom>
          <a:solidFill>
            <a:srgbClr val="FFFFFF"/>
          </a:solidFill>
          <a:ln w="9525">
            <a:solidFill>
              <a:srgbClr val="C0C0C0"/>
            </a:solidFill>
            <a:miter lim="800000"/>
            <a:headEnd/>
            <a:tailEnd/>
          </a:ln>
          <a:effectLst/>
        </xdr:spPr>
        <xdr:txBody>
          <a:bodyPr vertOverflow="clip" wrap="square" lIns="46800" tIns="46800" rIns="46800" bIns="46800" anchor="b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Tubos de Aço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- Série Média (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) - Conformes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10255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ISO EN 10893-2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opção: Galvanizados conforme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10240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 com Certificação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7574" name="Text Box 166">
            <a:extLst>
              <a:ext uri="{FF2B5EF4-FFF2-40B4-BE49-F238E27FC236}">
                <a16:creationId xmlns:a16="http://schemas.microsoft.com/office/drawing/2014/main" id="{00000000-0008-0000-0100-0000A6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5" y="1243"/>
            <a:ext cx="465" cy="46"/>
          </a:xfrm>
          <a:prstGeom prst="rect">
            <a:avLst/>
          </a:prstGeom>
          <a:solidFill>
            <a:srgbClr val="FFFFFF"/>
          </a:solidFill>
          <a:ln w="9525">
            <a:solidFill>
              <a:srgbClr val="C0C0C0"/>
            </a:solidFill>
            <a:miter lim="800000"/>
            <a:headEnd/>
            <a:tailEnd/>
          </a:ln>
          <a:effectLst/>
        </xdr:spPr>
        <xdr:txBody>
          <a:bodyPr vertOverflow="clip" wrap="square" lIns="46800" tIns="46800" rIns="46800" bIns="46800" anchor="b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Acessórios Roscados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em Ferro Fundido Maleável - Conformes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10242 -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Símbolo de Projecto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A -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opção: Galvanizados - com Certificação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7575" name="Text Box 167">
            <a:extLst>
              <a:ext uri="{FF2B5EF4-FFF2-40B4-BE49-F238E27FC236}">
                <a16:creationId xmlns:a16="http://schemas.microsoft.com/office/drawing/2014/main" id="{00000000-0008-0000-0100-0000A7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4" y="1149"/>
            <a:ext cx="366" cy="29"/>
          </a:xfrm>
          <a:prstGeom prst="rect">
            <a:avLst/>
          </a:prstGeom>
          <a:gradFill>
            <a:gsLst>
              <a:gs pos="0">
                <a:schemeClr val="accent6">
                  <a:lumMod val="50000"/>
                </a:schemeClr>
              </a:gs>
              <a:gs pos="47000">
                <a:schemeClr val="accent6">
                  <a:lumMod val="75000"/>
                </a:schemeClr>
              </a:gs>
              <a:gs pos="56000">
                <a:schemeClr val="accent6">
                  <a:lumMod val="75000"/>
                </a:schemeClr>
              </a:gs>
              <a:gs pos="100000">
                <a:schemeClr val="accent6">
                  <a:lumMod val="50000"/>
                </a:schemeClr>
              </a:gs>
            </a:gsLst>
            <a:lin ang="5400000" scaled="1"/>
          </a:gradFill>
          <a:ln w="9525">
            <a:solidFill>
              <a:srgbClr val="C0C0C0"/>
            </a:solidFill>
            <a:miter lim="800000"/>
            <a:headEnd/>
            <a:tailEnd/>
          </a:ln>
          <a:effectLst/>
        </xdr:spPr>
        <xdr:txBody>
          <a:bodyPr vertOverflow="clip" wrap="square" lIns="36000" tIns="36000" rIns="46800" bIns="36000" anchor="ctr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Especificações Gerais do Sistema de Canalização:</a:t>
            </a:r>
          </a:p>
        </xdr:txBody>
      </xdr:sp>
      <xdr:sp macro="" textlink="">
        <xdr:nvSpPr>
          <xdr:cNvPr id="17576" name="Text Box 168">
            <a:extLst>
              <a:ext uri="{FF2B5EF4-FFF2-40B4-BE49-F238E27FC236}">
                <a16:creationId xmlns:a16="http://schemas.microsoft.com/office/drawing/2014/main" id="{00000000-0008-0000-0100-0000A8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5" y="1221"/>
            <a:ext cx="139" cy="25"/>
          </a:xfrm>
          <a:prstGeom prst="rect">
            <a:avLst/>
          </a:prstGeom>
          <a:gradFill>
            <a:gsLst>
              <a:gs pos="0">
                <a:schemeClr val="accent6">
                  <a:lumMod val="50000"/>
                </a:schemeClr>
              </a:gs>
              <a:gs pos="47000">
                <a:schemeClr val="accent6">
                  <a:lumMod val="75000"/>
                </a:schemeClr>
              </a:gs>
              <a:gs pos="56000">
                <a:schemeClr val="accent6">
                  <a:lumMod val="75000"/>
                </a:schemeClr>
              </a:gs>
              <a:gs pos="100000">
                <a:schemeClr val="accent6">
                  <a:lumMod val="50000"/>
                </a:schemeClr>
              </a:gs>
            </a:gsLst>
            <a:lin ang="5400000" scaled="1"/>
          </a:gradFill>
          <a:ln w="9525">
            <a:solidFill>
              <a:srgbClr val="C0C0C0"/>
            </a:solidFill>
            <a:miter lim="800000"/>
            <a:headEnd/>
            <a:tailEnd/>
          </a:ln>
          <a:effectLst/>
        </xdr:spPr>
        <xdr:txBody>
          <a:bodyPr vertOverflow="clip" wrap="square" lIns="46800" tIns="36000" rIns="46800" bIns="36000" anchor="ctr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 Unidos mediante:</a:t>
            </a:r>
          </a:p>
        </xdr:txBody>
      </xdr:sp>
    </xdr:grpSp>
    <xdr:clientData/>
  </xdr:twoCellAnchor>
  <xdr:twoCellAnchor>
    <xdr:from>
      <xdr:col>1</xdr:col>
      <xdr:colOff>180975</xdr:colOff>
      <xdr:row>66</xdr:row>
      <xdr:rowOff>200025</xdr:rowOff>
    </xdr:from>
    <xdr:to>
      <xdr:col>12</xdr:col>
      <xdr:colOff>381000</xdr:colOff>
      <xdr:row>68</xdr:row>
      <xdr:rowOff>190500</xdr:rowOff>
    </xdr:to>
    <xdr:grpSp>
      <xdr:nvGrpSpPr>
        <xdr:cNvPr id="39557" name="Group 388">
          <a:extLst>
            <a:ext uri="{FF2B5EF4-FFF2-40B4-BE49-F238E27FC236}">
              <a16:creationId xmlns:a16="http://schemas.microsoft.com/office/drawing/2014/main" id="{00000000-0008-0000-0100-0000859A0000}"/>
            </a:ext>
          </a:extLst>
        </xdr:cNvPr>
        <xdr:cNvGrpSpPr>
          <a:grpSpLocks/>
        </xdr:cNvGrpSpPr>
      </xdr:nvGrpSpPr>
      <xdr:grpSpPr bwMode="auto">
        <a:xfrm>
          <a:off x="250248" y="11511271"/>
          <a:ext cx="3698297" cy="406112"/>
          <a:chOff x="26" y="1237"/>
          <a:chExt cx="367" cy="43"/>
        </a:xfrm>
      </xdr:grpSpPr>
      <xdr:sp macro="" textlink="">
        <xdr:nvSpPr>
          <xdr:cNvPr id="17619" name="Text Box 211">
            <a:extLst>
              <a:ext uri="{FF2B5EF4-FFF2-40B4-BE49-F238E27FC236}">
                <a16:creationId xmlns:a16="http://schemas.microsoft.com/office/drawing/2014/main" id="{00000000-0008-0000-0100-0000D3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" y="1237"/>
            <a:ext cx="351" cy="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36000" rIns="36000" bIns="36000" anchor="t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Desnível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, inserir valor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positivo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+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) se o troço é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ascendente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negativo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)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se o troço é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descendente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7620" name="Text Box 212">
            <a:extLst>
              <a:ext uri="{FF2B5EF4-FFF2-40B4-BE49-F238E27FC236}">
                <a16:creationId xmlns:a16="http://schemas.microsoft.com/office/drawing/2014/main" id="{00000000-0008-0000-0100-0000D4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" y="1237"/>
            <a:ext cx="40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36000" rIns="90000" bIns="360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2)</a:t>
            </a:r>
          </a:p>
        </xdr:txBody>
      </xdr:sp>
    </xdr:grpSp>
    <xdr:clientData/>
  </xdr:twoCellAnchor>
  <xdr:twoCellAnchor editAs="absolute">
    <xdr:from>
      <xdr:col>1</xdr:col>
      <xdr:colOff>180975</xdr:colOff>
      <xdr:row>66</xdr:row>
      <xdr:rowOff>48986</xdr:rowOff>
    </xdr:from>
    <xdr:to>
      <xdr:col>6</xdr:col>
      <xdr:colOff>57150</xdr:colOff>
      <xdr:row>67</xdr:row>
      <xdr:rowOff>93208</xdr:rowOff>
    </xdr:to>
    <xdr:sp macro="" textlink="">
      <xdr:nvSpPr>
        <xdr:cNvPr id="17651" name="Text Box 243">
          <a:extLst>
            <a:ext uri="{FF2B5EF4-FFF2-40B4-BE49-F238E27FC236}">
              <a16:creationId xmlns:a16="http://schemas.microsoft.com/office/drawing/2014/main" id="{00000000-0008-0000-0100-0000F3440000}"/>
            </a:ext>
          </a:extLst>
        </xdr:cNvPr>
        <xdr:cNvSpPr txBox="1">
          <a:spLocks noChangeArrowheads="1"/>
        </xdr:cNvSpPr>
      </xdr:nvSpPr>
      <xdr:spPr bwMode="auto">
        <a:xfrm>
          <a:off x="247650" y="11630025"/>
          <a:ext cx="21907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36000" tIns="36000" rIns="36000" bIns="36000" anchor="t" upright="1"/>
        <a:lstStyle/>
        <a:p>
          <a:pPr algn="l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Q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deverá ser ≥ 3,01 m</a:t>
          </a: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(st)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/h</a:t>
          </a:r>
        </a:p>
      </xdr:txBody>
    </xdr:sp>
    <xdr:clientData/>
  </xdr:twoCellAnchor>
  <xdr:twoCellAnchor>
    <xdr:from>
      <xdr:col>1</xdr:col>
      <xdr:colOff>190500</xdr:colOff>
      <xdr:row>68</xdr:row>
      <xdr:rowOff>123829</xdr:rowOff>
    </xdr:from>
    <xdr:to>
      <xdr:col>12</xdr:col>
      <xdr:colOff>438150</xdr:colOff>
      <xdr:row>71</xdr:row>
      <xdr:rowOff>46560</xdr:rowOff>
    </xdr:to>
    <xdr:grpSp>
      <xdr:nvGrpSpPr>
        <xdr:cNvPr id="39560" name="Group 387">
          <a:extLst>
            <a:ext uri="{FF2B5EF4-FFF2-40B4-BE49-F238E27FC236}">
              <a16:creationId xmlns:a16="http://schemas.microsoft.com/office/drawing/2014/main" id="{00000000-0008-0000-0100-0000889A0000}"/>
            </a:ext>
          </a:extLst>
        </xdr:cNvPr>
        <xdr:cNvGrpSpPr>
          <a:grpSpLocks/>
        </xdr:cNvGrpSpPr>
      </xdr:nvGrpSpPr>
      <xdr:grpSpPr bwMode="auto">
        <a:xfrm>
          <a:off x="259773" y="11850712"/>
          <a:ext cx="3745922" cy="417536"/>
          <a:chOff x="27" y="1268"/>
          <a:chExt cx="372" cy="45"/>
        </a:xfrm>
      </xdr:grpSpPr>
      <xdr:sp macro="" textlink="">
        <xdr:nvSpPr>
          <xdr:cNvPr id="17567" name="Text Box 159">
            <a:extLst>
              <a:ext uri="{FF2B5EF4-FFF2-40B4-BE49-F238E27FC236}">
                <a16:creationId xmlns:a16="http://schemas.microsoft.com/office/drawing/2014/main" id="{00000000-0008-0000-0100-00009F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" y="1268"/>
            <a:ext cx="364" cy="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82800" tIns="46800" rIns="72000" bIns="46800" anchor="t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Nos troços a Baixa Pressão,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comuns a vários aparelhos, deve-se adoptar uma dimensão mínima de 3/4 (DN 20)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7657" name="Text Box 249">
            <a:extLst>
              <a:ext uri="{FF2B5EF4-FFF2-40B4-BE49-F238E27FC236}">
                <a16:creationId xmlns:a16="http://schemas.microsoft.com/office/drawing/2014/main" id="{00000000-0008-0000-0100-0000F94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" y="1268"/>
            <a:ext cx="31" cy="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36000" rIns="90000" bIns="360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4)</a:t>
            </a:r>
          </a:p>
        </xdr:txBody>
      </xdr:sp>
    </xdr:grpSp>
    <xdr:clientData/>
  </xdr:twoCellAnchor>
  <xdr:twoCellAnchor>
    <xdr:from>
      <xdr:col>1</xdr:col>
      <xdr:colOff>85725</xdr:colOff>
      <xdr:row>56</xdr:row>
      <xdr:rowOff>0</xdr:rowOff>
    </xdr:from>
    <xdr:to>
      <xdr:col>6</xdr:col>
      <xdr:colOff>476250</xdr:colOff>
      <xdr:row>66</xdr:row>
      <xdr:rowOff>66675</xdr:rowOff>
    </xdr:to>
    <xdr:grpSp>
      <xdr:nvGrpSpPr>
        <xdr:cNvPr id="39561" name="Group 390">
          <a:extLst>
            <a:ext uri="{FF2B5EF4-FFF2-40B4-BE49-F238E27FC236}">
              <a16:creationId xmlns:a16="http://schemas.microsoft.com/office/drawing/2014/main" id="{00000000-0008-0000-0100-0000899A0000}"/>
            </a:ext>
          </a:extLst>
        </xdr:cNvPr>
        <xdr:cNvGrpSpPr>
          <a:grpSpLocks/>
        </xdr:cNvGrpSpPr>
      </xdr:nvGrpSpPr>
      <xdr:grpSpPr bwMode="auto">
        <a:xfrm>
          <a:off x="154998" y="9896104"/>
          <a:ext cx="2844758" cy="1481817"/>
          <a:chOff x="16" y="1071"/>
          <a:chExt cx="284" cy="159"/>
        </a:xfrm>
      </xdr:grpSpPr>
      <xdr:sp macro="" textlink="">
        <xdr:nvSpPr>
          <xdr:cNvPr id="39590" name="Rectangle 252">
            <a:extLst>
              <a:ext uri="{FF2B5EF4-FFF2-40B4-BE49-F238E27FC236}">
                <a16:creationId xmlns:a16="http://schemas.microsoft.com/office/drawing/2014/main" id="{00000000-0008-0000-0100-0000A6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208"/>
            <a:ext cx="15" cy="16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591" name="Rectangle 253">
            <a:extLst>
              <a:ext uri="{FF2B5EF4-FFF2-40B4-BE49-F238E27FC236}">
                <a16:creationId xmlns:a16="http://schemas.microsoft.com/office/drawing/2014/main" id="{00000000-0008-0000-0100-0000A7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142"/>
            <a:ext cx="15" cy="16"/>
          </a:xfrm>
          <a:prstGeom prst="rect">
            <a:avLst/>
          </a:prstGeom>
          <a:solidFill>
            <a:schemeClr val="bg2">
              <a:lumMod val="90000"/>
            </a:schemeClr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592" name="Rectangle 254">
            <a:extLst>
              <a:ext uri="{FF2B5EF4-FFF2-40B4-BE49-F238E27FC236}">
                <a16:creationId xmlns:a16="http://schemas.microsoft.com/office/drawing/2014/main" id="{00000000-0008-0000-0100-0000A8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120"/>
            <a:ext cx="16" cy="18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593" name="Rectangle 255">
            <a:extLst>
              <a:ext uri="{FF2B5EF4-FFF2-40B4-BE49-F238E27FC236}">
                <a16:creationId xmlns:a16="http://schemas.microsoft.com/office/drawing/2014/main" id="{00000000-0008-0000-0100-0000A9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099"/>
            <a:ext cx="15" cy="17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594" name="Rectangle 256">
            <a:extLst>
              <a:ext uri="{FF2B5EF4-FFF2-40B4-BE49-F238E27FC236}">
                <a16:creationId xmlns:a16="http://schemas.microsoft.com/office/drawing/2014/main" id="{00000000-0008-0000-0100-0000AA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163"/>
            <a:ext cx="15" cy="16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595" name="Rectangle 257">
            <a:extLst>
              <a:ext uri="{FF2B5EF4-FFF2-40B4-BE49-F238E27FC236}">
                <a16:creationId xmlns:a16="http://schemas.microsoft.com/office/drawing/2014/main" id="{00000000-0008-0000-0100-0000AB9A0000}"/>
              </a:ext>
            </a:extLst>
          </xdr:cNvPr>
          <xdr:cNvSpPr>
            <a:spLocks noChangeArrowheads="1"/>
          </xdr:cNvSpPr>
        </xdr:nvSpPr>
        <xdr:spPr bwMode="auto">
          <a:xfrm>
            <a:off x="24" y="1186"/>
            <a:ext cx="16" cy="16"/>
          </a:xfrm>
          <a:prstGeom prst="rect">
            <a:avLst/>
          </a:prstGeom>
          <a:solidFill>
            <a:srgbClr val="FF0000"/>
          </a:solidFill>
          <a:ln>
            <a:noFill/>
          </a:ln>
          <a:effectLst>
            <a:prstShdw prst="shdw13" dist="53882" dir="13500000">
              <a:srgbClr val="808080"/>
            </a:prst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666" name="Text Box 258">
            <a:extLst>
              <a:ext uri="{FF2B5EF4-FFF2-40B4-BE49-F238E27FC236}">
                <a16:creationId xmlns:a16="http://schemas.microsoft.com/office/drawing/2014/main" id="{00000000-0008-0000-0100-000002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093"/>
            <a:ext cx="212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Obtido no desenho da instalação</a:t>
            </a:r>
          </a:p>
        </xdr:txBody>
      </xdr:sp>
      <xdr:sp macro="" textlink="">
        <xdr:nvSpPr>
          <xdr:cNvPr id="17667" name="Text Box 259">
            <a:extLst>
              <a:ext uri="{FF2B5EF4-FFF2-40B4-BE49-F238E27FC236}">
                <a16:creationId xmlns:a16="http://schemas.microsoft.com/office/drawing/2014/main" id="{00000000-0008-0000-0100-000003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116"/>
            <a:ext cx="194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Dados de entrada / decisões</a:t>
            </a:r>
          </a:p>
        </xdr:txBody>
      </xdr:sp>
      <xdr:sp macro="" textlink="">
        <xdr:nvSpPr>
          <xdr:cNvPr id="17668" name="Text Box 260">
            <a:extLst>
              <a:ext uri="{FF2B5EF4-FFF2-40B4-BE49-F238E27FC236}">
                <a16:creationId xmlns:a16="http://schemas.microsoft.com/office/drawing/2014/main" id="{00000000-0008-0000-0100-000004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138"/>
            <a:ext cx="217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Calculado com recurso a fórmulas</a:t>
            </a:r>
          </a:p>
        </xdr:txBody>
      </xdr:sp>
      <xdr:sp macro="" textlink="">
        <xdr:nvSpPr>
          <xdr:cNvPr id="17669" name="Text Box 261">
            <a:extLst>
              <a:ext uri="{FF2B5EF4-FFF2-40B4-BE49-F238E27FC236}">
                <a16:creationId xmlns:a16="http://schemas.microsoft.com/office/drawing/2014/main" id="{00000000-0008-0000-0100-000005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160"/>
            <a:ext cx="257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Retirado de quadros de especificações</a:t>
            </a:r>
          </a:p>
        </xdr:txBody>
      </xdr:sp>
      <xdr:sp macro="" textlink="">
        <xdr:nvSpPr>
          <xdr:cNvPr id="17670" name="Text Box 262">
            <a:extLst>
              <a:ext uri="{FF2B5EF4-FFF2-40B4-BE49-F238E27FC236}">
                <a16:creationId xmlns:a16="http://schemas.microsoft.com/office/drawing/2014/main" id="{00000000-0008-0000-0100-000006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181"/>
            <a:ext cx="131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Restrições / Alertas</a:t>
            </a:r>
          </a:p>
        </xdr:txBody>
      </xdr:sp>
      <xdr:sp macro="" textlink="">
        <xdr:nvSpPr>
          <xdr:cNvPr id="17671" name="Text Box 263">
            <a:extLst>
              <a:ext uri="{FF2B5EF4-FFF2-40B4-BE49-F238E27FC236}">
                <a16:creationId xmlns:a16="http://schemas.microsoft.com/office/drawing/2014/main" id="{00000000-0008-0000-0100-000007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" y="1204"/>
            <a:ext cx="131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Conclusões</a:t>
            </a:r>
          </a:p>
        </xdr:txBody>
      </xdr:sp>
      <xdr:sp macro="" textlink="">
        <xdr:nvSpPr>
          <xdr:cNvPr id="17672" name="Text Box 264">
            <a:extLst>
              <a:ext uri="{FF2B5EF4-FFF2-40B4-BE49-F238E27FC236}">
                <a16:creationId xmlns:a16="http://schemas.microsoft.com/office/drawing/2014/main" id="{00000000-0008-0000-0100-000008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" y="1071"/>
            <a:ext cx="140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46800" rIns="90000" bIns="46800" anchor="t" upright="1"/>
          <a:lstStyle/>
          <a:p>
            <a:pPr algn="l" rtl="0">
              <a:defRPr sz="1000"/>
            </a:pPr>
            <a:r>
              <a:rPr lang="pt-PT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Legenda</a:t>
            </a: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 </a:t>
            </a:r>
            <a:r>
              <a:rPr lang="pt-PT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nota</a:t>
            </a: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(s):</a:t>
            </a:r>
          </a:p>
        </xdr:txBody>
      </xdr:sp>
    </xdr:grpSp>
    <xdr:clientData/>
  </xdr:twoCellAnchor>
  <xdr:twoCellAnchor>
    <xdr:from>
      <xdr:col>1</xdr:col>
      <xdr:colOff>180975</xdr:colOff>
      <xdr:row>70</xdr:row>
      <xdr:rowOff>57150</xdr:rowOff>
    </xdr:from>
    <xdr:to>
      <xdr:col>15</xdr:col>
      <xdr:colOff>200025</xdr:colOff>
      <xdr:row>73</xdr:row>
      <xdr:rowOff>38100</xdr:rowOff>
    </xdr:to>
    <xdr:grpSp>
      <xdr:nvGrpSpPr>
        <xdr:cNvPr id="39562" name="Group 389">
          <a:extLst>
            <a:ext uri="{FF2B5EF4-FFF2-40B4-BE49-F238E27FC236}">
              <a16:creationId xmlns:a16="http://schemas.microsoft.com/office/drawing/2014/main" id="{00000000-0008-0000-0100-00008A9A0000}"/>
            </a:ext>
          </a:extLst>
        </xdr:cNvPr>
        <xdr:cNvGrpSpPr>
          <a:grpSpLocks/>
        </xdr:cNvGrpSpPr>
      </xdr:nvGrpSpPr>
      <xdr:grpSpPr bwMode="auto">
        <a:xfrm>
          <a:off x="250248" y="12194722"/>
          <a:ext cx="5278829" cy="297624"/>
          <a:chOff x="26" y="1312"/>
          <a:chExt cx="523" cy="26"/>
        </a:xfrm>
      </xdr:grpSpPr>
      <xdr:sp macro="" textlink="">
        <xdr:nvSpPr>
          <xdr:cNvPr id="17755" name="Text Box 347">
            <a:extLst>
              <a:ext uri="{FF2B5EF4-FFF2-40B4-BE49-F238E27FC236}">
                <a16:creationId xmlns:a16="http://schemas.microsoft.com/office/drawing/2014/main" id="{00000000-0008-0000-0100-00005B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4" y="1312"/>
            <a:ext cx="515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82800" tIns="46800" rIns="72000" bIns="46800" anchor="t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Pressão de abastecimento = 21 mbar (valor teórico),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na prática adopta-se 20 mbar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7756" name="Text Box 348">
            <a:extLst>
              <a:ext uri="{FF2B5EF4-FFF2-40B4-BE49-F238E27FC236}">
                <a16:creationId xmlns:a16="http://schemas.microsoft.com/office/drawing/2014/main" id="{00000000-0008-0000-0100-00005C4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" y="1312"/>
            <a:ext cx="31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000" tIns="36000" rIns="90000" bIns="36000" anchor="t" upright="1"/>
          <a:lstStyle/>
          <a:p>
            <a:pPr algn="l" rtl="0">
              <a:defRPr sz="1000"/>
            </a:pPr>
            <a:r>
              <a:rPr lang="pt-PT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5)</a:t>
            </a:r>
          </a:p>
        </xdr:txBody>
      </xdr:sp>
    </xdr:grpSp>
    <xdr:clientData/>
  </xdr:twoCellAnchor>
  <xdr:twoCellAnchor editAs="absolute">
    <xdr:from>
      <xdr:col>32</xdr:col>
      <xdr:colOff>28575</xdr:colOff>
      <xdr:row>4</xdr:row>
      <xdr:rowOff>47625</xdr:rowOff>
    </xdr:from>
    <xdr:to>
      <xdr:col>33</xdr:col>
      <xdr:colOff>438150</xdr:colOff>
      <xdr:row>5</xdr:row>
      <xdr:rowOff>28575</xdr:rowOff>
    </xdr:to>
    <xdr:sp macro="" textlink="">
      <xdr:nvSpPr>
        <xdr:cNvPr id="17758" name="Text Box 350">
          <a:extLst>
            <a:ext uri="{FF2B5EF4-FFF2-40B4-BE49-F238E27FC236}">
              <a16:creationId xmlns:a16="http://schemas.microsoft.com/office/drawing/2014/main" id="{00000000-0008-0000-0100-00005E450000}"/>
            </a:ext>
          </a:extLst>
        </xdr:cNvPr>
        <xdr:cNvSpPr txBox="1">
          <a:spLocks noChangeArrowheads="1"/>
        </xdr:cNvSpPr>
      </xdr:nvSpPr>
      <xdr:spPr bwMode="auto">
        <a:xfrm>
          <a:off x="12325350" y="638175"/>
          <a:ext cx="981075" cy="219075"/>
        </a:xfrm>
        <a:prstGeom prst="rect">
          <a:avLst/>
        </a:prstGeom>
        <a:gradFill rotWithShape="1">
          <a:gsLst>
            <a:gs pos="0">
              <a:srgbClr val="333333"/>
            </a:gs>
            <a:gs pos="100000">
              <a:srgbClr val="969696"/>
            </a:gs>
          </a:gsLst>
          <a:lin ang="5400000" scaled="1"/>
        </a:gradFill>
        <a:ln w="9525">
          <a:noFill/>
          <a:miter lim="800000"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Fogo tipo 2</a:t>
          </a:r>
        </a:p>
      </xdr:txBody>
    </xdr:sp>
    <xdr:clientData/>
  </xdr:twoCellAnchor>
  <xdr:twoCellAnchor editAs="absolute">
    <xdr:from>
      <xdr:col>24</xdr:col>
      <xdr:colOff>28575</xdr:colOff>
      <xdr:row>4</xdr:row>
      <xdr:rowOff>47625</xdr:rowOff>
    </xdr:from>
    <xdr:to>
      <xdr:col>25</xdr:col>
      <xdr:colOff>371475</xdr:colOff>
      <xdr:row>5</xdr:row>
      <xdr:rowOff>28575</xdr:rowOff>
    </xdr:to>
    <xdr:sp macro="" textlink="">
      <xdr:nvSpPr>
        <xdr:cNvPr id="17759" name="Text Box 351">
          <a:extLst>
            <a:ext uri="{FF2B5EF4-FFF2-40B4-BE49-F238E27FC236}">
              <a16:creationId xmlns:a16="http://schemas.microsoft.com/office/drawing/2014/main" id="{00000000-0008-0000-0100-00005F450000}"/>
            </a:ext>
          </a:extLst>
        </xdr:cNvPr>
        <xdr:cNvSpPr txBox="1">
          <a:spLocks noChangeArrowheads="1"/>
        </xdr:cNvSpPr>
      </xdr:nvSpPr>
      <xdr:spPr bwMode="auto">
        <a:xfrm>
          <a:off x="7896225" y="638175"/>
          <a:ext cx="923925" cy="219075"/>
        </a:xfrm>
        <a:prstGeom prst="rect">
          <a:avLst/>
        </a:prstGeom>
        <a:gradFill rotWithShape="1">
          <a:gsLst>
            <a:gs pos="0">
              <a:srgbClr val="333333"/>
            </a:gs>
            <a:gs pos="100000">
              <a:srgbClr val="969696"/>
            </a:gs>
          </a:gsLst>
          <a:lin ang="5400000" scaled="1"/>
        </a:gradFill>
        <a:ln w="9525">
          <a:noFill/>
          <a:miter lim="800000"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Fogo tipo 1</a:t>
          </a:r>
        </a:p>
      </xdr:txBody>
    </xdr:sp>
    <xdr:clientData/>
  </xdr:twoCellAnchor>
  <xdr:twoCellAnchor editAs="absolute">
    <xdr:from>
      <xdr:col>21</xdr:col>
      <xdr:colOff>161925</xdr:colOff>
      <xdr:row>8</xdr:row>
      <xdr:rowOff>19050</xdr:rowOff>
    </xdr:from>
    <xdr:to>
      <xdr:col>21</xdr:col>
      <xdr:colOff>266700</xdr:colOff>
      <xdr:row>13</xdr:row>
      <xdr:rowOff>2305</xdr:rowOff>
    </xdr:to>
    <xdr:sp macro="" textlink="">
      <xdr:nvSpPr>
        <xdr:cNvPr id="39565" name="AutoShape 352">
          <a:extLst>
            <a:ext uri="{FF2B5EF4-FFF2-40B4-BE49-F238E27FC236}">
              <a16:creationId xmlns:a16="http://schemas.microsoft.com/office/drawing/2014/main" id="{00000000-0008-0000-0100-00008D9A0000}"/>
            </a:ext>
          </a:extLst>
        </xdr:cNvPr>
        <xdr:cNvSpPr>
          <a:spLocks noChangeArrowheads="1"/>
        </xdr:cNvSpPr>
      </xdr:nvSpPr>
      <xdr:spPr bwMode="auto">
        <a:xfrm rot="5400000">
          <a:off x="6948488" y="1928812"/>
          <a:ext cx="1066800" cy="104775"/>
        </a:xfrm>
        <a:prstGeom prst="notchedRightArrow">
          <a:avLst>
            <a:gd name="adj1" fmla="val 50000"/>
            <a:gd name="adj2" fmla="val 141414"/>
          </a:avLst>
        </a:prstGeom>
        <a:solidFill>
          <a:srgbClr val="33333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30</xdr:col>
      <xdr:colOff>571500</xdr:colOff>
      <xdr:row>8</xdr:row>
      <xdr:rowOff>38100</xdr:rowOff>
    </xdr:from>
    <xdr:to>
      <xdr:col>31</xdr:col>
      <xdr:colOff>95250</xdr:colOff>
      <xdr:row>13</xdr:row>
      <xdr:rowOff>9525</xdr:rowOff>
    </xdr:to>
    <xdr:sp macro="" textlink="">
      <xdr:nvSpPr>
        <xdr:cNvPr id="39566" name="AutoShape 353">
          <a:extLst>
            <a:ext uri="{FF2B5EF4-FFF2-40B4-BE49-F238E27FC236}">
              <a16:creationId xmlns:a16="http://schemas.microsoft.com/office/drawing/2014/main" id="{00000000-0008-0000-0100-00008E9A0000}"/>
            </a:ext>
          </a:extLst>
        </xdr:cNvPr>
        <xdr:cNvSpPr>
          <a:spLocks noChangeArrowheads="1"/>
        </xdr:cNvSpPr>
      </xdr:nvSpPr>
      <xdr:spPr bwMode="auto">
        <a:xfrm rot="5400000">
          <a:off x="11339513" y="1947862"/>
          <a:ext cx="1066800" cy="104775"/>
        </a:xfrm>
        <a:prstGeom prst="notchedRightArrow">
          <a:avLst>
            <a:gd name="adj1" fmla="val 50000"/>
            <a:gd name="adj2" fmla="val 141414"/>
          </a:avLst>
        </a:prstGeom>
        <a:solidFill>
          <a:srgbClr val="33333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38</xdr:col>
      <xdr:colOff>378086</xdr:colOff>
      <xdr:row>58</xdr:row>
      <xdr:rowOff>130478</xdr:rowOff>
    </xdr:from>
    <xdr:to>
      <xdr:col>39</xdr:col>
      <xdr:colOff>640029</xdr:colOff>
      <xdr:row>59</xdr:row>
      <xdr:rowOff>145067</xdr:rowOff>
    </xdr:to>
    <xdr:sp macro="" textlink="">
      <xdr:nvSpPr>
        <xdr:cNvPr id="17763" name="Text Box 355">
          <a:extLst>
            <a:ext uri="{FF2B5EF4-FFF2-40B4-BE49-F238E27FC236}">
              <a16:creationId xmlns:a16="http://schemas.microsoft.com/office/drawing/2014/main" id="{00000000-0008-0000-0100-000063450000}"/>
            </a:ext>
          </a:extLst>
        </xdr:cNvPr>
        <xdr:cNvSpPr txBox="1">
          <a:spLocks noChangeArrowheads="1"/>
        </xdr:cNvSpPr>
      </xdr:nvSpPr>
      <xdr:spPr bwMode="auto">
        <a:xfrm>
          <a:off x="15672515" y="10379378"/>
          <a:ext cx="828000" cy="194203"/>
        </a:xfrm>
        <a:prstGeom prst="rect">
          <a:avLst/>
        </a:prstGeom>
        <a:solidFill>
          <a:schemeClr val="bg2">
            <a:lumMod val="90000"/>
          </a:schemeClr>
        </a:solidFill>
        <a:ln w="9525">
          <a:solidFill>
            <a:srgbClr val="C0C0C0"/>
          </a:solidFill>
          <a:miter lim="800000"/>
          <a:headEnd/>
          <a:tailEnd/>
        </a:ln>
        <a:effectLst/>
      </xdr:spPr>
      <xdr:txBody>
        <a:bodyPr vertOverflow="clip" wrap="square" lIns="0" tIns="22860" rIns="0" bIns="22860" anchor="ctr" upright="1"/>
        <a:lstStyle/>
        <a:p>
          <a:pPr algn="ctr" rtl="0">
            <a:defRPr sz="1000"/>
          </a:pPr>
          <a:r>
            <a:rPr lang="pt-PT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 mbar = 0,1 kPa</a:t>
          </a:r>
        </a:p>
      </xdr:txBody>
    </xdr:sp>
    <xdr:clientData/>
  </xdr:twoCellAnchor>
  <xdr:twoCellAnchor>
    <xdr:from>
      <xdr:col>1</xdr:col>
      <xdr:colOff>38100</xdr:colOff>
      <xdr:row>20</xdr:row>
      <xdr:rowOff>9525</xdr:rowOff>
    </xdr:from>
    <xdr:to>
      <xdr:col>3</xdr:col>
      <xdr:colOff>57150</xdr:colOff>
      <xdr:row>20</xdr:row>
      <xdr:rowOff>228600</xdr:rowOff>
    </xdr:to>
    <xdr:sp macro="" textlink="">
      <xdr:nvSpPr>
        <xdr:cNvPr id="17813" name="Text Box 405">
          <a:extLst>
            <a:ext uri="{FF2B5EF4-FFF2-40B4-BE49-F238E27FC236}">
              <a16:creationId xmlns:a16="http://schemas.microsoft.com/office/drawing/2014/main" id="{00000000-0008-0000-0100-000095450000}"/>
            </a:ext>
          </a:extLst>
        </xdr:cNvPr>
        <xdr:cNvSpPr txBox="1">
          <a:spLocks noChangeArrowheads="1"/>
        </xdr:cNvSpPr>
      </xdr:nvSpPr>
      <xdr:spPr bwMode="auto">
        <a:xfrm>
          <a:off x="104775" y="3400425"/>
          <a:ext cx="7334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1100" b="0" i="0" u="none" strike="noStrike" baseline="0">
              <a:solidFill>
                <a:srgbClr val="FFFFFF"/>
              </a:solidFill>
              <a:latin typeface="Arial"/>
              <a:cs typeface="Arial"/>
            </a:rPr>
            <a:t>Cálculos:</a:t>
          </a:r>
        </a:p>
      </xdr:txBody>
    </xdr:sp>
    <xdr:clientData/>
  </xdr:twoCellAnchor>
  <xdr:twoCellAnchor>
    <xdr:from>
      <xdr:col>1</xdr:col>
      <xdr:colOff>38100</xdr:colOff>
      <xdr:row>44</xdr:row>
      <xdr:rowOff>9525</xdr:rowOff>
    </xdr:from>
    <xdr:to>
      <xdr:col>3</xdr:col>
      <xdr:colOff>57150</xdr:colOff>
      <xdr:row>44</xdr:row>
      <xdr:rowOff>228600</xdr:rowOff>
    </xdr:to>
    <xdr:sp macro="" textlink="">
      <xdr:nvSpPr>
        <xdr:cNvPr id="17814" name="Text Box 406">
          <a:extLst>
            <a:ext uri="{FF2B5EF4-FFF2-40B4-BE49-F238E27FC236}">
              <a16:creationId xmlns:a16="http://schemas.microsoft.com/office/drawing/2014/main" id="{00000000-0008-0000-0100-000096450000}"/>
            </a:ext>
          </a:extLst>
        </xdr:cNvPr>
        <xdr:cNvSpPr txBox="1">
          <a:spLocks noChangeArrowheads="1"/>
        </xdr:cNvSpPr>
      </xdr:nvSpPr>
      <xdr:spPr bwMode="auto">
        <a:xfrm>
          <a:off x="104775" y="7620000"/>
          <a:ext cx="7334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1100" b="0" i="0" u="none" strike="noStrike" baseline="0">
              <a:solidFill>
                <a:srgbClr val="FFFFFF"/>
              </a:solidFill>
              <a:latin typeface="Arial"/>
              <a:cs typeface="Arial"/>
            </a:rPr>
            <a:t>Cálculos:</a:t>
          </a:r>
        </a:p>
      </xdr:txBody>
    </xdr:sp>
    <xdr:clientData/>
  </xdr:twoCellAnchor>
  <xdr:twoCellAnchor>
    <xdr:from>
      <xdr:col>1</xdr:col>
      <xdr:colOff>27213</xdr:colOff>
      <xdr:row>0</xdr:row>
      <xdr:rowOff>27214</xdr:rowOff>
    </xdr:from>
    <xdr:to>
      <xdr:col>17</xdr:col>
      <xdr:colOff>52404</xdr:colOff>
      <xdr:row>13</xdr:row>
      <xdr:rowOff>185969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96486" y="27214"/>
          <a:ext cx="6492294" cy="2563509"/>
          <a:chOff x="1888672" y="2155371"/>
          <a:chExt cx="6485863" cy="2548169"/>
        </a:xfrm>
      </xdr:grpSpPr>
      <xdr:grpSp>
        <xdr:nvGrpSpPr>
          <xdr:cNvPr id="71" name="Agrupar 70">
            <a:extLst>
              <a:ext uri="{FF2B5EF4-FFF2-40B4-BE49-F238E27FC236}">
                <a16:creationId xmlns:a16="http://schemas.microsoft.com/office/drawing/2014/main" id="{00000000-0008-0000-0100-000047000000}"/>
              </a:ext>
            </a:extLst>
          </xdr:cNvPr>
          <xdr:cNvGrpSpPr/>
        </xdr:nvGrpSpPr>
        <xdr:grpSpPr>
          <a:xfrm>
            <a:off x="1888676" y="2944585"/>
            <a:ext cx="297678" cy="1758955"/>
            <a:chOff x="10000209" y="574767"/>
            <a:chExt cx="297678" cy="1772532"/>
          </a:xfrm>
        </xdr:grpSpPr>
        <xdr:sp macro="" textlink="">
          <xdr:nvSpPr>
            <xdr:cNvPr id="72" name="Retângulo: Cantos Arredondados 71">
              <a:extLst>
                <a:ext uri="{FF2B5EF4-FFF2-40B4-BE49-F238E27FC236}">
                  <a16:creationId xmlns:a16="http://schemas.microsoft.com/office/drawing/2014/main" id="{00000000-0008-0000-0100-000048000000}"/>
                </a:ext>
              </a:extLst>
            </xdr:cNvPr>
            <xdr:cNvSpPr/>
          </xdr:nvSpPr>
          <xdr:spPr bwMode="auto">
            <a:xfrm>
              <a:off x="10000209" y="574767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1.1</a:t>
              </a:r>
            </a:p>
          </xdr:txBody>
        </xdr:sp>
        <xdr:sp macro="" textlink="">
          <xdr:nvSpPr>
            <xdr:cNvPr id="73" name="Retângulo: Cantos Arredondados 72">
              <a:extLst>
                <a:ext uri="{FF2B5EF4-FFF2-40B4-BE49-F238E27FC236}">
                  <a16:creationId xmlns:a16="http://schemas.microsoft.com/office/drawing/2014/main" id="{00000000-0008-0000-0100-000049000000}"/>
                </a:ext>
              </a:extLst>
            </xdr:cNvPr>
            <xdr:cNvSpPr/>
          </xdr:nvSpPr>
          <xdr:spPr bwMode="auto">
            <a:xfrm>
              <a:off x="10000209" y="773221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1.2</a:t>
              </a:r>
            </a:p>
          </xdr:txBody>
        </xdr:sp>
        <xdr:sp macro="" textlink="">
          <xdr:nvSpPr>
            <xdr:cNvPr id="74" name="Retângulo: Cantos Arredondados 73"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SpPr/>
          </xdr:nvSpPr>
          <xdr:spPr bwMode="auto">
            <a:xfrm>
              <a:off x="10000209" y="967490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1.3</a:t>
              </a:r>
            </a:p>
          </xdr:txBody>
        </xdr:sp>
        <xdr:sp macro="" textlink="">
          <xdr:nvSpPr>
            <xdr:cNvPr id="75" name="Retângulo: Cantos Arredondados 74">
              <a:extLst>
                <a:ext uri="{FF2B5EF4-FFF2-40B4-BE49-F238E27FC236}">
                  <a16:creationId xmlns:a16="http://schemas.microsoft.com/office/drawing/2014/main" id="{00000000-0008-0000-0100-00004B000000}"/>
                </a:ext>
              </a:extLst>
            </xdr:cNvPr>
            <xdr:cNvSpPr/>
          </xdr:nvSpPr>
          <xdr:spPr bwMode="auto">
            <a:xfrm>
              <a:off x="10000209" y="1383147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7.3</a:t>
              </a:r>
            </a:p>
          </xdr:txBody>
        </xdr:sp>
        <xdr:sp macro="" textlink="">
          <xdr:nvSpPr>
            <xdr:cNvPr id="76" name="Retângulo: Cantos Arredondados 75">
              <a:extLst>
                <a:ext uri="{FF2B5EF4-FFF2-40B4-BE49-F238E27FC236}">
                  <a16:creationId xmlns:a16="http://schemas.microsoft.com/office/drawing/2014/main" id="{00000000-0008-0000-0100-00004C000000}"/>
                </a:ext>
              </a:extLst>
            </xdr:cNvPr>
            <xdr:cNvSpPr/>
          </xdr:nvSpPr>
          <xdr:spPr bwMode="auto">
            <a:xfrm>
              <a:off x="10000209" y="1580303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9.7</a:t>
              </a:r>
            </a:p>
          </xdr:txBody>
        </xdr:sp>
        <xdr:sp macro="" textlink="">
          <xdr:nvSpPr>
            <xdr:cNvPr id="77" name="Retângulo: Cantos Arredondados 76">
              <a:extLst>
                <a:ext uri="{FF2B5EF4-FFF2-40B4-BE49-F238E27FC236}">
                  <a16:creationId xmlns:a16="http://schemas.microsoft.com/office/drawing/2014/main" id="{00000000-0008-0000-0100-00004D000000}"/>
                </a:ext>
              </a:extLst>
            </xdr:cNvPr>
            <xdr:cNvSpPr/>
          </xdr:nvSpPr>
          <xdr:spPr bwMode="auto">
            <a:xfrm>
              <a:off x="10000209" y="1774572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10.3</a:t>
              </a:r>
            </a:p>
          </xdr:txBody>
        </xdr:sp>
        <xdr:sp macro="" textlink="">
          <xdr:nvSpPr>
            <xdr:cNvPr id="78" name="Retângulo: Cantos Arredondados 77">
              <a:extLst>
                <a:ext uri="{FF2B5EF4-FFF2-40B4-BE49-F238E27FC236}">
                  <a16:creationId xmlns:a16="http://schemas.microsoft.com/office/drawing/2014/main" id="{00000000-0008-0000-0100-00004E000000}"/>
                </a:ext>
              </a:extLst>
            </xdr:cNvPr>
            <xdr:cNvSpPr/>
          </xdr:nvSpPr>
          <xdr:spPr bwMode="auto">
            <a:xfrm>
              <a:off x="10000209" y="1967545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3.3</a:t>
              </a:r>
            </a:p>
          </xdr:txBody>
        </xdr:sp>
        <xdr:sp macro="" textlink="">
          <xdr:nvSpPr>
            <xdr:cNvPr id="79" name="Retângulo: Cantos Arredondados 78">
              <a:extLst>
                <a:ext uri="{FF2B5EF4-FFF2-40B4-BE49-F238E27FC236}">
                  <a16:creationId xmlns:a16="http://schemas.microsoft.com/office/drawing/2014/main" id="{00000000-0008-0000-0100-00004F000000}"/>
                </a:ext>
              </a:extLst>
            </xdr:cNvPr>
            <xdr:cNvSpPr/>
          </xdr:nvSpPr>
          <xdr:spPr bwMode="auto">
            <a:xfrm>
              <a:off x="10000209" y="2167299"/>
              <a:ext cx="297678" cy="180000"/>
            </a:xfrm>
            <a:prstGeom prst="roundRect">
              <a:avLst/>
            </a:prstGeom>
            <a:solidFill>
              <a:schemeClr val="accent6">
                <a:lumMod val="75000"/>
              </a:schemeClr>
            </a:solidFill>
            <a:ln>
              <a:noFill/>
              <a:headEnd type="none" w="med" len="med"/>
              <a:tailEnd type="none" w="med" len="med"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vert="horz" wrap="square" lIns="18288" tIns="0" rIns="0" bIns="0" rtlCol="0" anchor="ctr" upright="1"/>
            <a:lstStyle/>
            <a:p>
              <a:pPr algn="l"/>
              <a:r>
                <a:rPr lang="pt-PT" sz="900" b="0" cap="none" spc="0">
                  <a:ln w="0">
                    <a:noFill/>
                  </a:ln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rial" panose="020B0604020202020204" pitchFamily="34" charset="0"/>
                  <a:cs typeface="Arial" panose="020B0604020202020204" pitchFamily="34" charset="0"/>
                </a:rPr>
                <a:t>5.3</a:t>
              </a:r>
            </a:p>
          </xdr:txBody>
        </xdr:sp>
      </xdr:grpSp>
      <xdr:sp macro="" textlink="">
        <xdr:nvSpPr>
          <xdr:cNvPr id="81" name="Retângulo: Cantos Arredondados 80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SpPr/>
        </xdr:nvSpPr>
        <xdr:spPr bwMode="auto">
          <a:xfrm>
            <a:off x="1888676" y="2737756"/>
            <a:ext cx="566056" cy="190500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Quadr</a:t>
            </a:r>
            <a:r>
              <a:rPr lang="pt-PT" sz="900" b="0" cap="none" spc="0" baseline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o 0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2" name="Retângulo: Cantos Arredondados 81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/>
        </xdr:nvSpPr>
        <xdr:spPr bwMode="auto">
          <a:xfrm>
            <a:off x="1888676" y="2155371"/>
            <a:ext cx="6480000" cy="288471"/>
          </a:xfrm>
          <a:prstGeom prst="roundRect">
            <a:avLst/>
          </a:prstGeom>
          <a:gradFill flip="none" rotWithShape="1">
            <a:gsLst>
              <a:gs pos="0">
                <a:schemeClr val="accent6">
                  <a:lumMod val="50000"/>
                </a:schemeClr>
              </a:gs>
              <a:gs pos="49000">
                <a:schemeClr val="accent6">
                  <a:lumMod val="75000"/>
                </a:schemeClr>
              </a:gs>
              <a:gs pos="97000">
                <a:schemeClr val="accent6">
                  <a:lumMod val="5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105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</a:t>
            </a:r>
            <a:r>
              <a:rPr lang="pt-PT" sz="14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Instalações Individuais (Dimensionamento para Baixa Pressão - BP)</a:t>
            </a:r>
            <a:endParaRPr lang="pt-PT" sz="12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3" name="Retângulo: Cantos Arredondados 82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SpPr/>
        </xdr:nvSpPr>
        <xdr:spPr bwMode="auto">
          <a:xfrm>
            <a:off x="1888672" y="2481941"/>
            <a:ext cx="3374573" cy="234000"/>
          </a:xfrm>
          <a:prstGeom prst="roundRect">
            <a:avLst/>
          </a:prstGeom>
          <a:gradFill flip="none" rotWithShape="1">
            <a:gsLst>
              <a:gs pos="0">
                <a:schemeClr val="accent6">
                  <a:lumMod val="50000"/>
                </a:schemeClr>
              </a:gs>
              <a:gs pos="48000">
                <a:schemeClr val="accent6">
                  <a:lumMod val="75000"/>
                </a:schemeClr>
              </a:gs>
              <a:gs pos="52000">
                <a:schemeClr val="accent6">
                  <a:lumMod val="75000"/>
                </a:schemeClr>
              </a:gs>
              <a:gs pos="97000">
                <a:schemeClr val="accent6">
                  <a:lumMod val="5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36000" tIns="0" rIns="0" bIns="0" rtlCol="0" anchor="ctr" anchorCtr="0" upright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t-PT" sz="105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</a:t>
            </a:r>
            <a:r>
              <a:rPr lang="pt-PT" sz="14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</a:t>
            </a:r>
            <a:r>
              <a:rPr lang="pt-PT" sz="1200" b="0" i="0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e Especificações:</a:t>
            </a:r>
            <a:endParaRPr lang="pt-PT" sz="1200">
              <a:effectLst/>
            </a:endParaRPr>
          </a:p>
        </xdr:txBody>
      </xdr:sp>
      <xdr:sp macro="" textlink="">
        <xdr:nvSpPr>
          <xdr:cNvPr id="84" name="Retângulo: Cantos Arredondados 83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/>
        </xdr:nvSpPr>
        <xdr:spPr bwMode="auto">
          <a:xfrm>
            <a:off x="5285013" y="2481941"/>
            <a:ext cx="594000" cy="234000"/>
          </a:xfrm>
          <a:prstGeom prst="roundRect">
            <a:avLst/>
          </a:prstGeom>
          <a:gradFill flip="none" rotWithShape="1">
            <a:gsLst>
              <a:gs pos="0">
                <a:schemeClr val="accent6">
                  <a:lumMod val="50000"/>
                </a:schemeClr>
              </a:gs>
              <a:gs pos="48000">
                <a:schemeClr val="accent6">
                  <a:lumMod val="75000"/>
                </a:schemeClr>
              </a:gs>
              <a:gs pos="52000">
                <a:schemeClr val="accent6">
                  <a:lumMod val="75000"/>
                </a:schemeClr>
              </a:gs>
              <a:gs pos="97000">
                <a:schemeClr val="accent6">
                  <a:lumMod val="5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0" tIns="0" rIns="0" bIns="0" rtlCol="0" anchor="ctr" anchorCtr="0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t-PT" sz="1200" b="0" i="0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Decisões</a:t>
            </a:r>
            <a:endParaRPr lang="pt-PT" sz="1200">
              <a:effectLst/>
            </a:endParaRPr>
          </a:p>
        </xdr:txBody>
      </xdr:sp>
      <xdr:sp macro="" textlink="">
        <xdr:nvSpPr>
          <xdr:cNvPr id="85" name="Retângulo: Cantos Arredondados 84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/>
        </xdr:nvSpPr>
        <xdr:spPr bwMode="auto">
          <a:xfrm>
            <a:off x="5910940" y="2481941"/>
            <a:ext cx="576000" cy="234000"/>
          </a:xfrm>
          <a:prstGeom prst="roundRect">
            <a:avLst/>
          </a:prstGeom>
          <a:gradFill flip="none" rotWithShape="1">
            <a:gsLst>
              <a:gs pos="0">
                <a:schemeClr val="accent6">
                  <a:lumMod val="50000"/>
                </a:schemeClr>
              </a:gs>
              <a:gs pos="48000">
                <a:schemeClr val="accent6">
                  <a:lumMod val="75000"/>
                </a:schemeClr>
              </a:gs>
              <a:gs pos="52000">
                <a:schemeClr val="accent6">
                  <a:lumMod val="75000"/>
                </a:schemeClr>
              </a:gs>
              <a:gs pos="97000">
                <a:schemeClr val="accent6">
                  <a:lumMod val="5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0" tIns="0" rIns="0" bIns="0" rtlCol="0" anchor="ctr" anchorCtr="0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t-PT" sz="1200" b="0" i="0" spc="-100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Adoptado</a:t>
            </a:r>
            <a:endParaRPr lang="pt-PT" sz="1200" spc="-100" baseline="0">
              <a:effectLst/>
            </a:endParaRPr>
          </a:p>
        </xdr:txBody>
      </xdr:sp>
      <xdr:sp macro="" textlink="">
        <xdr:nvSpPr>
          <xdr:cNvPr id="86" name="Retângulo: Cantos Arredondados 85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/>
        </xdr:nvSpPr>
        <xdr:spPr bwMode="auto">
          <a:xfrm>
            <a:off x="6520535" y="2481941"/>
            <a:ext cx="1854000" cy="234000"/>
          </a:xfrm>
          <a:prstGeom prst="roundRect">
            <a:avLst/>
          </a:prstGeom>
          <a:gradFill flip="none" rotWithShape="1">
            <a:gsLst>
              <a:gs pos="0">
                <a:schemeClr val="accent6">
                  <a:lumMod val="50000"/>
                </a:schemeClr>
              </a:gs>
              <a:gs pos="48000">
                <a:schemeClr val="accent6">
                  <a:lumMod val="75000"/>
                </a:schemeClr>
              </a:gs>
              <a:gs pos="52000">
                <a:schemeClr val="accent6">
                  <a:lumMod val="75000"/>
                </a:schemeClr>
              </a:gs>
              <a:gs pos="97000">
                <a:schemeClr val="accent6">
                  <a:lumMod val="5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0" tIns="0" rIns="0" bIns="0" rtlCol="0" anchor="ctr" anchorCtr="0" upright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t-PT" sz="1200" b="0" i="0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Observações</a:t>
            </a:r>
            <a:endParaRPr lang="pt-PT" sz="1200">
              <a:effectLst/>
            </a:endParaRPr>
          </a:p>
        </xdr:txBody>
      </xdr:sp>
    </xdr:grpSp>
    <xdr:clientData/>
  </xdr:twoCellAnchor>
  <xdr:twoCellAnchor>
    <xdr:from>
      <xdr:col>41</xdr:col>
      <xdr:colOff>5442</xdr:colOff>
      <xdr:row>13</xdr:row>
      <xdr:rowOff>10886</xdr:rowOff>
    </xdr:from>
    <xdr:to>
      <xdr:col>42</xdr:col>
      <xdr:colOff>41863</xdr:colOff>
      <xdr:row>13</xdr:row>
      <xdr:rowOff>189507</xdr:rowOff>
    </xdr:to>
    <xdr:sp macro="" textlink="">
      <xdr:nvSpPr>
        <xdr:cNvPr id="88" name="Retângulo: Cantos Arredondados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/>
      </xdr:nvSpPr>
      <xdr:spPr bwMode="auto">
        <a:xfrm>
          <a:off x="16551728" y="2400300"/>
          <a:ext cx="297678" cy="178621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1.9</a:t>
          </a:r>
        </a:p>
      </xdr:txBody>
    </xdr:sp>
    <xdr:clientData/>
  </xdr:twoCellAnchor>
  <xdr:twoCellAnchor>
    <xdr:from>
      <xdr:col>30</xdr:col>
      <xdr:colOff>43542</xdr:colOff>
      <xdr:row>13</xdr:row>
      <xdr:rowOff>10886</xdr:rowOff>
    </xdr:from>
    <xdr:to>
      <xdr:col>30</xdr:col>
      <xdr:colOff>341220</xdr:colOff>
      <xdr:row>13</xdr:row>
      <xdr:rowOff>189507</xdr:rowOff>
    </xdr:to>
    <xdr:sp macro="" textlink="">
      <xdr:nvSpPr>
        <xdr:cNvPr id="89" name="Retângulo: Cantos Arredondados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/>
      </xdr:nvSpPr>
      <xdr:spPr bwMode="auto">
        <a:xfrm>
          <a:off x="11952513" y="2400300"/>
          <a:ext cx="297678" cy="178621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1.9</a:t>
          </a:r>
        </a:p>
      </xdr:txBody>
    </xdr:sp>
    <xdr:clientData/>
  </xdr:twoCellAnchor>
  <xdr:twoCellAnchor>
    <xdr:from>
      <xdr:col>16</xdr:col>
      <xdr:colOff>66279</xdr:colOff>
      <xdr:row>35</xdr:row>
      <xdr:rowOff>159518</xdr:rowOff>
    </xdr:from>
    <xdr:to>
      <xdr:col>16</xdr:col>
      <xdr:colOff>363198</xdr:colOff>
      <xdr:row>43</xdr:row>
      <xdr:rowOff>3446</xdr:rowOff>
    </xdr:to>
    <xdr:grpSp>
      <xdr:nvGrpSpPr>
        <xdr:cNvPr id="90" name="Agrupar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GrpSpPr/>
      </xdr:nvGrpSpPr>
      <xdr:grpSpPr>
        <a:xfrm>
          <a:off x="6008889" y="6700843"/>
          <a:ext cx="296919" cy="546551"/>
          <a:chOff x="10000209" y="2143061"/>
          <a:chExt cx="297678" cy="550948"/>
        </a:xfrm>
      </xdr:grpSpPr>
      <xdr:sp macro="" textlink="">
        <xdr:nvSpPr>
          <xdr:cNvPr id="92" name="Retângulo: Cantos Arredondados 91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/>
        </xdr:nvSpPr>
        <xdr:spPr bwMode="auto">
          <a:xfrm>
            <a:off x="10000209" y="2143061"/>
            <a:ext cx="297678" cy="170635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4.1</a:t>
            </a:r>
          </a:p>
        </xdr:txBody>
      </xdr:sp>
      <xdr:sp macro="" textlink="">
        <xdr:nvSpPr>
          <xdr:cNvPr id="93" name="Retângulo: Cantos Arredondados 92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/>
        </xdr:nvSpPr>
        <xdr:spPr bwMode="auto">
          <a:xfrm>
            <a:off x="10000209" y="2332779"/>
            <a:ext cx="297678" cy="170635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4.2</a:t>
            </a:r>
          </a:p>
        </xdr:txBody>
      </xdr:sp>
      <xdr:sp macro="" textlink="">
        <xdr:nvSpPr>
          <xdr:cNvPr id="94" name="Retângulo: Cantos Arredondados 93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/>
        </xdr:nvSpPr>
        <xdr:spPr bwMode="auto">
          <a:xfrm>
            <a:off x="10000209" y="2522355"/>
            <a:ext cx="297678" cy="171654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5.2</a:t>
            </a:r>
          </a:p>
        </xdr:txBody>
      </xdr:sp>
    </xdr:grpSp>
    <xdr:clientData/>
  </xdr:twoCellAnchor>
  <xdr:twoCellAnchor>
    <xdr:from>
      <xdr:col>16</xdr:col>
      <xdr:colOff>66279</xdr:colOff>
      <xdr:row>56</xdr:row>
      <xdr:rowOff>156899</xdr:rowOff>
    </xdr:from>
    <xdr:to>
      <xdr:col>16</xdr:col>
      <xdr:colOff>363198</xdr:colOff>
      <xdr:row>60</xdr:row>
      <xdr:rowOff>827</xdr:rowOff>
    </xdr:to>
    <xdr:grpSp>
      <xdr:nvGrpSpPr>
        <xdr:cNvPr id="95" name="Agrupar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GrpSpPr/>
      </xdr:nvGrpSpPr>
      <xdr:grpSpPr>
        <a:xfrm>
          <a:off x="6008889" y="10053003"/>
          <a:ext cx="296919" cy="546551"/>
          <a:chOff x="10000209" y="2143061"/>
          <a:chExt cx="297678" cy="550948"/>
        </a:xfrm>
      </xdr:grpSpPr>
      <xdr:sp macro="" textlink="">
        <xdr:nvSpPr>
          <xdr:cNvPr id="96" name="Retângulo: Cantos Arredondados 95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/>
        </xdr:nvSpPr>
        <xdr:spPr bwMode="auto">
          <a:xfrm>
            <a:off x="10000209" y="2143061"/>
            <a:ext cx="297678" cy="170635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4.1</a:t>
            </a:r>
          </a:p>
        </xdr:txBody>
      </xdr:sp>
      <xdr:sp macro="" textlink="">
        <xdr:nvSpPr>
          <xdr:cNvPr id="97" name="Retângulo: Cantos Arredondados 96">
            <a:extLst>
              <a:ext uri="{FF2B5EF4-FFF2-40B4-BE49-F238E27FC236}">
                <a16:creationId xmlns:a16="http://schemas.microsoft.com/office/drawing/2014/main" id="{00000000-0008-0000-0100-000061000000}"/>
              </a:ext>
            </a:extLst>
          </xdr:cNvPr>
          <xdr:cNvSpPr/>
        </xdr:nvSpPr>
        <xdr:spPr bwMode="auto">
          <a:xfrm>
            <a:off x="10000209" y="2332779"/>
            <a:ext cx="297678" cy="170635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4.2</a:t>
            </a:r>
          </a:p>
        </xdr:txBody>
      </xdr:sp>
      <xdr:sp macro="" textlink="">
        <xdr:nvSpPr>
          <xdr:cNvPr id="98" name="Retângulo: Cantos Arredondados 97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/>
        </xdr:nvSpPr>
        <xdr:spPr bwMode="auto">
          <a:xfrm>
            <a:off x="10000209" y="2522355"/>
            <a:ext cx="297678" cy="171654"/>
          </a:xfrm>
          <a:prstGeom prst="roundRect">
            <a:avLst/>
          </a:prstGeom>
          <a:solidFill>
            <a:schemeClr val="accent6">
              <a:lumMod val="75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l"/>
            <a:r>
              <a:rPr lang="pt-PT" sz="900" b="0" cap="none" spc="0">
                <a:ln w="0">
                  <a:noFill/>
                </a:ln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" panose="020B0604020202020204" pitchFamily="34" charset="0"/>
                <a:cs typeface="Arial" panose="020B0604020202020204" pitchFamily="34" charset="0"/>
              </a:rPr>
              <a:t>5.2</a:t>
            </a:r>
          </a:p>
        </xdr:txBody>
      </xdr:sp>
    </xdr:grpSp>
    <xdr:clientData/>
  </xdr:twoCellAnchor>
  <xdr:twoCellAnchor>
    <xdr:from>
      <xdr:col>30</xdr:col>
      <xdr:colOff>544286</xdr:colOff>
      <xdr:row>57</xdr:row>
      <xdr:rowOff>5444</xdr:rowOff>
    </xdr:from>
    <xdr:to>
      <xdr:col>38</xdr:col>
      <xdr:colOff>287620</xdr:colOff>
      <xdr:row>60</xdr:row>
      <xdr:rowOff>2</xdr:rowOff>
    </xdr:to>
    <xdr:grpSp>
      <xdr:nvGrpSpPr>
        <xdr:cNvPr id="99" name="Agrupar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GrpSpPr/>
      </xdr:nvGrpSpPr>
      <xdr:grpSpPr>
        <a:xfrm>
          <a:off x="12454247" y="10069781"/>
          <a:ext cx="3127801" cy="528948"/>
          <a:chOff x="12328076" y="9857013"/>
          <a:chExt cx="3128792" cy="533400"/>
        </a:xfrm>
      </xdr:grpSpPr>
      <xdr:sp macro="" textlink="">
        <xdr:nvSpPr>
          <xdr:cNvPr id="100" name="Rectangle 17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13841371" y="10199303"/>
            <a:ext cx="476436" cy="106680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/>
          <a:lstStyle/>
          <a:p>
            <a:endParaRPr lang="pt-PT"/>
          </a:p>
        </xdr:txBody>
      </xdr:sp>
      <xdr:sp macro="" textlink="">
        <xdr:nvSpPr>
          <xdr:cNvPr id="101" name="AutoShape 20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2364142" y="9866711"/>
            <a:ext cx="1591730" cy="514003"/>
          </a:xfrm>
          <a:prstGeom prst="upArrowCallout">
            <a:avLst>
              <a:gd name="adj1" fmla="val 25931"/>
              <a:gd name="adj2" fmla="val 32902"/>
              <a:gd name="adj3" fmla="val 30356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2" name="AutoShape 5425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4395532" y="9857013"/>
            <a:ext cx="1028669" cy="533400"/>
          </a:xfrm>
          <a:prstGeom prst="upArrowCallout">
            <a:avLst>
              <a:gd name="adj1" fmla="val 26052"/>
              <a:gd name="adj2" fmla="val 31075"/>
              <a:gd name="adj3" fmla="val 30190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3" name="Retângulo: Cantos Arredondados 102">
            <a:extLst>
              <a:ext uri="{FF2B5EF4-FFF2-40B4-BE49-F238E27FC236}">
                <a16:creationId xmlns:a16="http://schemas.microsoft.com/office/drawing/2014/main" id="{00000000-0008-0000-0100-000067000000}"/>
              </a:ext>
            </a:extLst>
          </xdr:cNvPr>
          <xdr:cNvSpPr/>
        </xdr:nvSpPr>
        <xdr:spPr bwMode="auto">
          <a:xfrm>
            <a:off x="12328076" y="10110537"/>
            <a:ext cx="1709939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ctr"/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 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≤ </a:t>
            </a:r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4" name="Retângulo: Cantos Arredondados 103">
            <a:extLst>
              <a:ext uri="{FF2B5EF4-FFF2-40B4-BE49-F238E27FC236}">
                <a16:creationId xmlns:a16="http://schemas.microsoft.com/office/drawing/2014/main" id="{00000000-0008-0000-0100-000068000000}"/>
              </a:ext>
            </a:extLst>
          </xdr:cNvPr>
          <xdr:cNvSpPr/>
        </xdr:nvSpPr>
        <xdr:spPr bwMode="auto">
          <a:xfrm>
            <a:off x="14304868" y="10110537"/>
            <a:ext cx="1152000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ctr"/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V ≤ V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30</xdr:col>
      <xdr:colOff>544286</xdr:colOff>
      <xdr:row>35</xdr:row>
      <xdr:rowOff>119743</xdr:rowOff>
    </xdr:from>
    <xdr:to>
      <xdr:col>38</xdr:col>
      <xdr:colOff>287620</xdr:colOff>
      <xdr:row>38</xdr:row>
      <xdr:rowOff>125187</xdr:rowOff>
    </xdr:to>
    <xdr:grpSp>
      <xdr:nvGrpSpPr>
        <xdr:cNvPr id="105" name="Agrupar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GrpSpPr/>
      </xdr:nvGrpSpPr>
      <xdr:grpSpPr>
        <a:xfrm>
          <a:off x="12454247" y="6661068"/>
          <a:ext cx="3127801" cy="529937"/>
          <a:chOff x="12328076" y="9857013"/>
          <a:chExt cx="3128792" cy="533400"/>
        </a:xfrm>
      </xdr:grpSpPr>
      <xdr:sp macro="" textlink="">
        <xdr:nvSpPr>
          <xdr:cNvPr id="106" name="Rectangle 17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SpPr>
            <a:spLocks noChangeArrowheads="1"/>
          </xdr:cNvSpPr>
        </xdr:nvSpPr>
        <xdr:spPr bwMode="auto">
          <a:xfrm>
            <a:off x="13841371" y="10199303"/>
            <a:ext cx="476436" cy="106680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/>
          <a:lstStyle/>
          <a:p>
            <a:endParaRPr lang="pt-PT"/>
          </a:p>
        </xdr:txBody>
      </xdr:sp>
      <xdr:sp macro="" textlink="">
        <xdr:nvSpPr>
          <xdr:cNvPr id="107" name="AutoShape 20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2364142" y="9866711"/>
            <a:ext cx="1591730" cy="514003"/>
          </a:xfrm>
          <a:prstGeom prst="upArrowCallout">
            <a:avLst>
              <a:gd name="adj1" fmla="val 25931"/>
              <a:gd name="adj2" fmla="val 32902"/>
              <a:gd name="adj3" fmla="val 30356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8" name="AutoShape 5425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4395532" y="9857013"/>
            <a:ext cx="1028669" cy="533400"/>
          </a:xfrm>
          <a:prstGeom prst="upArrowCallout">
            <a:avLst>
              <a:gd name="adj1" fmla="val 26052"/>
              <a:gd name="adj2" fmla="val 31075"/>
              <a:gd name="adj3" fmla="val 30190"/>
              <a:gd name="adj4" fmla="val 50727"/>
            </a:avLst>
          </a:prstGeom>
          <a:solidFill>
            <a:schemeClr val="bg2">
              <a:lumMod val="50000"/>
            </a:schemeClr>
          </a:solidFill>
          <a:ln w="9525">
            <a:noFill/>
            <a:miter lim="800000"/>
            <a:headEnd/>
            <a:tailEnd/>
          </a:ln>
          <a:effectLst>
            <a:softEdge rad="12700"/>
          </a:effectLst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endParaRPr lang="pt-PT" sz="1000" b="0" i="0" u="none" strike="noStrike" baseline="0">
              <a:solidFill>
                <a:schemeClr val="bg1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9" name="Retângulo: Cantos Arredondados 108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/>
        </xdr:nvSpPr>
        <xdr:spPr bwMode="auto">
          <a:xfrm>
            <a:off x="12328076" y="10110537"/>
            <a:ext cx="1709939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ctr"/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 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≤ </a:t>
            </a:r>
            <a:r>
              <a:rPr lang="el-GR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Δ</a:t>
            </a:r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acumul.admissível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10" name="Retângulo: Cantos Arredondados 109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/>
        </xdr:nvSpPr>
        <xdr:spPr bwMode="auto">
          <a:xfrm>
            <a:off x="14304868" y="10110537"/>
            <a:ext cx="1152000" cy="27653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  <a:headEnd type="none" w="med" len="med"/>
            <a:tailEnd type="none" w="med" len="med"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vert="horz" wrap="square" lIns="18288" tIns="0" rIns="0" bIns="0" rtlCol="0" anchor="ctr" upright="1"/>
          <a:lstStyle/>
          <a:p>
            <a:pPr algn="ctr"/>
            <a:r>
              <a:rPr lang="pt-PT" sz="1100" b="0" i="0" baseline="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V ≤ V</a:t>
            </a:r>
            <a:r>
              <a:rPr lang="pt-PT" sz="1100" b="0" i="0" baseline="-25000">
                <a:solidFill>
                  <a:schemeClr val="lt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admissível</a:t>
            </a:r>
            <a:endParaRPr lang="pt-PT" sz="900" b="0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37</xdr:col>
      <xdr:colOff>79266</xdr:colOff>
      <xdr:row>65</xdr:row>
      <xdr:rowOff>169098</xdr:rowOff>
    </xdr:from>
    <xdr:to>
      <xdr:col>41</xdr:col>
      <xdr:colOff>95118</xdr:colOff>
      <xdr:row>71</xdr:row>
      <xdr:rowOff>134900</xdr:rowOff>
    </xdr:to>
    <xdr:grpSp>
      <xdr:nvGrpSpPr>
        <xdr:cNvPr id="87" name="Agrupar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GrpSpPr/>
      </xdr:nvGrpSpPr>
      <xdr:grpSpPr>
        <a:xfrm>
          <a:off x="14839305" y="11277474"/>
          <a:ext cx="1802098" cy="1079114"/>
          <a:chOff x="15881769" y="11053948"/>
          <a:chExt cx="1687639" cy="881920"/>
        </a:xfrm>
      </xdr:grpSpPr>
      <xdr:pic>
        <xdr:nvPicPr>
          <xdr:cNvPr id="91" name="Picture 5501" descr="Resize of logoapta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75413" y="11053948"/>
            <a:ext cx="1133453" cy="6659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11" name="Text Box 5512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46899" y="11765940"/>
            <a:ext cx="1422509" cy="1583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 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112" name="Text Box 55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81769" y="11430224"/>
            <a:ext cx="818260" cy="1976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</xdr:txBody>
      </xdr:sp>
      <xdr:sp macro="" textlink="">
        <xdr:nvSpPr>
          <xdr:cNvPr id="113" name="Text Box 5510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22558" y="11741615"/>
            <a:ext cx="335959" cy="194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  <xdr:sp macro="" textlink="">
        <xdr:nvSpPr>
          <xdr:cNvPr id="114" name="Text Box 551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18384" y="11603181"/>
            <a:ext cx="751603" cy="17318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77</xdr:row>
      <xdr:rowOff>0</xdr:rowOff>
    </xdr:from>
    <xdr:to>
      <xdr:col>5</xdr:col>
      <xdr:colOff>361950</xdr:colOff>
      <xdr:row>78</xdr:row>
      <xdr:rowOff>28575</xdr:rowOff>
    </xdr:to>
    <xdr:sp macro="" textlink="">
      <xdr:nvSpPr>
        <xdr:cNvPr id="20494" name="Text Box 14">
          <a:extLst>
            <a:ext uri="{FF2B5EF4-FFF2-40B4-BE49-F238E27FC236}">
              <a16:creationId xmlns:a16="http://schemas.microsoft.com/office/drawing/2014/main" id="{00000000-0008-0000-0200-00000E500000}"/>
            </a:ext>
          </a:extLst>
        </xdr:cNvPr>
        <xdr:cNvSpPr txBox="1">
          <a:spLocks noChangeArrowheads="1"/>
        </xdr:cNvSpPr>
      </xdr:nvSpPr>
      <xdr:spPr bwMode="auto">
        <a:xfrm>
          <a:off x="1876425" y="13687425"/>
          <a:ext cx="5048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15</a:t>
          </a:r>
        </a:p>
      </xdr:txBody>
    </xdr:sp>
    <xdr:clientData/>
  </xdr:twoCellAnchor>
  <xdr:twoCellAnchor>
    <xdr:from>
      <xdr:col>7</xdr:col>
      <xdr:colOff>247650</xdr:colOff>
      <xdr:row>73</xdr:row>
      <xdr:rowOff>0</xdr:rowOff>
    </xdr:from>
    <xdr:to>
      <xdr:col>8</xdr:col>
      <xdr:colOff>57150</xdr:colOff>
      <xdr:row>75</xdr:row>
      <xdr:rowOff>76200</xdr:rowOff>
    </xdr:to>
    <xdr:sp macro="" textlink="">
      <xdr:nvSpPr>
        <xdr:cNvPr id="20495" name="Text Box 15">
          <a:extLst>
            <a:ext uri="{FF2B5EF4-FFF2-40B4-BE49-F238E27FC236}">
              <a16:creationId xmlns:a16="http://schemas.microsoft.com/office/drawing/2014/main" id="{00000000-0008-0000-0200-00000F500000}"/>
            </a:ext>
          </a:extLst>
        </xdr:cNvPr>
        <xdr:cNvSpPr txBox="1">
          <a:spLocks noChangeArrowheads="1"/>
        </xdr:cNvSpPr>
      </xdr:nvSpPr>
      <xdr:spPr bwMode="auto">
        <a:xfrm>
          <a:off x="3943350" y="13039725"/>
          <a:ext cx="733425" cy="400050"/>
        </a:xfrm>
        <a:prstGeom prst="rect">
          <a:avLst/>
        </a:prstGeom>
        <a:solidFill>
          <a:schemeClr val="accent6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Espessura</a:t>
          </a:r>
        </a:p>
      </xdr:txBody>
    </xdr:sp>
    <xdr:clientData/>
  </xdr:twoCellAnchor>
  <xdr:twoCellAnchor>
    <xdr:from>
      <xdr:col>7</xdr:col>
      <xdr:colOff>247650</xdr:colOff>
      <xdr:row>75</xdr:row>
      <xdr:rowOff>85725</xdr:rowOff>
    </xdr:from>
    <xdr:to>
      <xdr:col>8</xdr:col>
      <xdr:colOff>57150</xdr:colOff>
      <xdr:row>76</xdr:row>
      <xdr:rowOff>142875</xdr:rowOff>
    </xdr:to>
    <xdr:sp macro="" textlink="">
      <xdr:nvSpPr>
        <xdr:cNvPr id="20496" name="Text Box 16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 txBox="1">
          <a:spLocks noChangeArrowheads="1"/>
        </xdr:cNvSpPr>
      </xdr:nvSpPr>
      <xdr:spPr bwMode="auto">
        <a:xfrm>
          <a:off x="3943350" y="13449300"/>
          <a:ext cx="733425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T (mm)</a:t>
          </a:r>
        </a:p>
      </xdr:txBody>
    </xdr:sp>
    <xdr:clientData/>
  </xdr:twoCellAnchor>
  <xdr:twoCellAnchor>
    <xdr:from>
      <xdr:col>7</xdr:col>
      <xdr:colOff>247650</xdr:colOff>
      <xdr:row>77</xdr:row>
      <xdr:rowOff>0</xdr:rowOff>
    </xdr:from>
    <xdr:to>
      <xdr:col>8</xdr:col>
      <xdr:colOff>57150</xdr:colOff>
      <xdr:row>78</xdr:row>
      <xdr:rowOff>28575</xdr:rowOff>
    </xdr:to>
    <xdr:sp macro="" textlink="">
      <xdr:nvSpPr>
        <xdr:cNvPr id="20497" name="Text Box 17">
          <a:extLst>
            <a:ext uri="{FF2B5EF4-FFF2-40B4-BE49-F238E27FC236}">
              <a16:creationId xmlns:a16="http://schemas.microsoft.com/office/drawing/2014/main" id="{00000000-0008-0000-0200-000011500000}"/>
            </a:ext>
          </a:extLst>
        </xdr:cNvPr>
        <xdr:cNvSpPr txBox="1">
          <a:spLocks noChangeArrowheads="1"/>
        </xdr:cNvSpPr>
      </xdr:nvSpPr>
      <xdr:spPr bwMode="auto">
        <a:xfrm>
          <a:off x="3943350" y="13687425"/>
          <a:ext cx="7334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2,6</a:t>
          </a:r>
        </a:p>
      </xdr:txBody>
    </xdr:sp>
    <xdr:clientData/>
  </xdr:twoCellAnchor>
  <xdr:twoCellAnchor>
    <xdr:from>
      <xdr:col>4</xdr:col>
      <xdr:colOff>781050</xdr:colOff>
      <xdr:row>78</xdr:row>
      <xdr:rowOff>47625</xdr:rowOff>
    </xdr:from>
    <xdr:to>
      <xdr:col>5</xdr:col>
      <xdr:colOff>361950</xdr:colOff>
      <xdr:row>79</xdr:row>
      <xdr:rowOff>76200</xdr:rowOff>
    </xdr:to>
    <xdr:sp macro="" textlink="">
      <xdr:nvSpPr>
        <xdr:cNvPr id="20498" name="Text Box 18">
          <a:extLst>
            <a:ext uri="{FF2B5EF4-FFF2-40B4-BE49-F238E27FC236}">
              <a16:creationId xmlns:a16="http://schemas.microsoft.com/office/drawing/2014/main" id="{00000000-0008-0000-0200-000012500000}"/>
            </a:ext>
          </a:extLst>
        </xdr:cNvPr>
        <xdr:cNvSpPr txBox="1">
          <a:spLocks noChangeArrowheads="1"/>
        </xdr:cNvSpPr>
      </xdr:nvSpPr>
      <xdr:spPr bwMode="auto">
        <a:xfrm>
          <a:off x="1876425" y="13896975"/>
          <a:ext cx="5048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20</a:t>
          </a:r>
        </a:p>
      </xdr:txBody>
    </xdr:sp>
    <xdr:clientData/>
  </xdr:twoCellAnchor>
  <xdr:twoCellAnchor>
    <xdr:from>
      <xdr:col>7</xdr:col>
      <xdr:colOff>247650</xdr:colOff>
      <xdr:row>78</xdr:row>
      <xdr:rowOff>47625</xdr:rowOff>
    </xdr:from>
    <xdr:to>
      <xdr:col>8</xdr:col>
      <xdr:colOff>57150</xdr:colOff>
      <xdr:row>79</xdr:row>
      <xdr:rowOff>76200</xdr:rowOff>
    </xdr:to>
    <xdr:sp macro="" textlink="">
      <xdr:nvSpPr>
        <xdr:cNvPr id="20499" name="Text Box 19">
          <a:extLst>
            <a:ext uri="{FF2B5EF4-FFF2-40B4-BE49-F238E27FC236}">
              <a16:creationId xmlns:a16="http://schemas.microsoft.com/office/drawing/2014/main" id="{00000000-0008-0000-0200-000013500000}"/>
            </a:ext>
          </a:extLst>
        </xdr:cNvPr>
        <xdr:cNvSpPr txBox="1">
          <a:spLocks noChangeArrowheads="1"/>
        </xdr:cNvSpPr>
      </xdr:nvSpPr>
      <xdr:spPr bwMode="auto">
        <a:xfrm>
          <a:off x="3943350" y="13896975"/>
          <a:ext cx="7334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2,6</a:t>
          </a:r>
        </a:p>
      </xdr:txBody>
    </xdr:sp>
    <xdr:clientData/>
  </xdr:twoCellAnchor>
  <xdr:twoCellAnchor>
    <xdr:from>
      <xdr:col>4</xdr:col>
      <xdr:colOff>781050</xdr:colOff>
      <xdr:row>79</xdr:row>
      <xdr:rowOff>104775</xdr:rowOff>
    </xdr:from>
    <xdr:to>
      <xdr:col>5</xdr:col>
      <xdr:colOff>361950</xdr:colOff>
      <xdr:row>80</xdr:row>
      <xdr:rowOff>133350</xdr:rowOff>
    </xdr:to>
    <xdr:sp macro="" textlink="">
      <xdr:nvSpPr>
        <xdr:cNvPr id="20500" name="Text Box 20">
          <a:extLst>
            <a:ext uri="{FF2B5EF4-FFF2-40B4-BE49-F238E27FC236}">
              <a16:creationId xmlns:a16="http://schemas.microsoft.com/office/drawing/2014/main" id="{00000000-0008-0000-0200-000014500000}"/>
            </a:ext>
          </a:extLst>
        </xdr:cNvPr>
        <xdr:cNvSpPr txBox="1">
          <a:spLocks noChangeArrowheads="1"/>
        </xdr:cNvSpPr>
      </xdr:nvSpPr>
      <xdr:spPr bwMode="auto">
        <a:xfrm>
          <a:off x="1876425" y="14116050"/>
          <a:ext cx="5048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25</a:t>
          </a:r>
        </a:p>
      </xdr:txBody>
    </xdr:sp>
    <xdr:clientData/>
  </xdr:twoCellAnchor>
  <xdr:twoCellAnchor>
    <xdr:from>
      <xdr:col>7</xdr:col>
      <xdr:colOff>247650</xdr:colOff>
      <xdr:row>79</xdr:row>
      <xdr:rowOff>104775</xdr:rowOff>
    </xdr:from>
    <xdr:to>
      <xdr:col>8</xdr:col>
      <xdr:colOff>57150</xdr:colOff>
      <xdr:row>80</xdr:row>
      <xdr:rowOff>133350</xdr:rowOff>
    </xdr:to>
    <xdr:sp macro="" textlink="">
      <xdr:nvSpPr>
        <xdr:cNvPr id="20501" name="Text Box 21">
          <a:extLst>
            <a:ext uri="{FF2B5EF4-FFF2-40B4-BE49-F238E27FC236}">
              <a16:creationId xmlns:a16="http://schemas.microsoft.com/office/drawing/2014/main" id="{00000000-0008-0000-0200-000015500000}"/>
            </a:ext>
          </a:extLst>
        </xdr:cNvPr>
        <xdr:cNvSpPr txBox="1">
          <a:spLocks noChangeArrowheads="1"/>
        </xdr:cNvSpPr>
      </xdr:nvSpPr>
      <xdr:spPr bwMode="auto">
        <a:xfrm>
          <a:off x="3943350" y="14116050"/>
          <a:ext cx="7334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3,2</a:t>
          </a:r>
        </a:p>
      </xdr:txBody>
    </xdr:sp>
    <xdr:clientData/>
  </xdr:twoCellAnchor>
  <xdr:twoCellAnchor>
    <xdr:from>
      <xdr:col>4</xdr:col>
      <xdr:colOff>781050</xdr:colOff>
      <xdr:row>80</xdr:row>
      <xdr:rowOff>152400</xdr:rowOff>
    </xdr:from>
    <xdr:to>
      <xdr:col>5</xdr:col>
      <xdr:colOff>361950</xdr:colOff>
      <xdr:row>82</xdr:row>
      <xdr:rowOff>19050</xdr:rowOff>
    </xdr:to>
    <xdr:sp macro="" textlink="">
      <xdr:nvSpPr>
        <xdr:cNvPr id="20502" name="Text Box 22">
          <a:extLst>
            <a:ext uri="{FF2B5EF4-FFF2-40B4-BE49-F238E27FC236}">
              <a16:creationId xmlns:a16="http://schemas.microsoft.com/office/drawing/2014/main" id="{00000000-0008-0000-0200-000016500000}"/>
            </a:ext>
          </a:extLst>
        </xdr:cNvPr>
        <xdr:cNvSpPr txBox="1">
          <a:spLocks noChangeArrowheads="1"/>
        </xdr:cNvSpPr>
      </xdr:nvSpPr>
      <xdr:spPr bwMode="auto">
        <a:xfrm>
          <a:off x="1876425" y="14325600"/>
          <a:ext cx="5048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32</a:t>
          </a:r>
        </a:p>
      </xdr:txBody>
    </xdr:sp>
    <xdr:clientData/>
  </xdr:twoCellAnchor>
  <xdr:twoCellAnchor>
    <xdr:from>
      <xdr:col>7</xdr:col>
      <xdr:colOff>247650</xdr:colOff>
      <xdr:row>80</xdr:row>
      <xdr:rowOff>152400</xdr:rowOff>
    </xdr:from>
    <xdr:to>
      <xdr:col>8</xdr:col>
      <xdr:colOff>57150</xdr:colOff>
      <xdr:row>82</xdr:row>
      <xdr:rowOff>19050</xdr:rowOff>
    </xdr:to>
    <xdr:sp macro="" textlink="">
      <xdr:nvSpPr>
        <xdr:cNvPr id="20503" name="Text Box 23">
          <a:extLst>
            <a:ext uri="{FF2B5EF4-FFF2-40B4-BE49-F238E27FC236}">
              <a16:creationId xmlns:a16="http://schemas.microsoft.com/office/drawing/2014/main" id="{00000000-0008-0000-0200-000017500000}"/>
            </a:ext>
          </a:extLst>
        </xdr:cNvPr>
        <xdr:cNvSpPr txBox="1">
          <a:spLocks noChangeArrowheads="1"/>
        </xdr:cNvSpPr>
      </xdr:nvSpPr>
      <xdr:spPr bwMode="auto">
        <a:xfrm>
          <a:off x="3943350" y="14325600"/>
          <a:ext cx="7334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3,2</a:t>
          </a:r>
        </a:p>
      </xdr:txBody>
    </xdr:sp>
    <xdr:clientData/>
  </xdr:twoCellAnchor>
  <xdr:twoCellAnchor>
    <xdr:from>
      <xdr:col>4</xdr:col>
      <xdr:colOff>781050</xdr:colOff>
      <xdr:row>82</xdr:row>
      <xdr:rowOff>38100</xdr:rowOff>
    </xdr:from>
    <xdr:to>
      <xdr:col>5</xdr:col>
      <xdr:colOff>361950</xdr:colOff>
      <xdr:row>83</xdr:row>
      <xdr:rowOff>76200</xdr:rowOff>
    </xdr:to>
    <xdr:sp macro="" textlink="">
      <xdr:nvSpPr>
        <xdr:cNvPr id="20504" name="Text Box 24">
          <a:extLst>
            <a:ext uri="{FF2B5EF4-FFF2-40B4-BE49-F238E27FC236}">
              <a16:creationId xmlns:a16="http://schemas.microsoft.com/office/drawing/2014/main" id="{00000000-0008-0000-0200-000018500000}"/>
            </a:ext>
          </a:extLst>
        </xdr:cNvPr>
        <xdr:cNvSpPr txBox="1">
          <a:spLocks noChangeArrowheads="1"/>
        </xdr:cNvSpPr>
      </xdr:nvSpPr>
      <xdr:spPr bwMode="auto">
        <a:xfrm>
          <a:off x="1876425" y="14535150"/>
          <a:ext cx="50482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40</a:t>
          </a:r>
        </a:p>
      </xdr:txBody>
    </xdr:sp>
    <xdr:clientData/>
  </xdr:twoCellAnchor>
  <xdr:twoCellAnchor>
    <xdr:from>
      <xdr:col>7</xdr:col>
      <xdr:colOff>247650</xdr:colOff>
      <xdr:row>82</xdr:row>
      <xdr:rowOff>38100</xdr:rowOff>
    </xdr:from>
    <xdr:to>
      <xdr:col>8</xdr:col>
      <xdr:colOff>57150</xdr:colOff>
      <xdr:row>83</xdr:row>
      <xdr:rowOff>76200</xdr:rowOff>
    </xdr:to>
    <xdr:sp macro="" textlink="">
      <xdr:nvSpPr>
        <xdr:cNvPr id="20505" name="Text Box 25">
          <a:extLst>
            <a:ext uri="{FF2B5EF4-FFF2-40B4-BE49-F238E27FC236}">
              <a16:creationId xmlns:a16="http://schemas.microsoft.com/office/drawing/2014/main" id="{00000000-0008-0000-0200-000019500000}"/>
            </a:ext>
          </a:extLst>
        </xdr:cNvPr>
        <xdr:cNvSpPr txBox="1">
          <a:spLocks noChangeArrowheads="1"/>
        </xdr:cNvSpPr>
      </xdr:nvSpPr>
      <xdr:spPr bwMode="auto">
        <a:xfrm>
          <a:off x="3943350" y="14535150"/>
          <a:ext cx="73342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3,2</a:t>
          </a:r>
        </a:p>
      </xdr:txBody>
    </xdr:sp>
    <xdr:clientData/>
  </xdr:twoCellAnchor>
  <xdr:twoCellAnchor>
    <xdr:from>
      <xdr:col>4</xdr:col>
      <xdr:colOff>781050</xdr:colOff>
      <xdr:row>83</xdr:row>
      <xdr:rowOff>95250</xdr:rowOff>
    </xdr:from>
    <xdr:to>
      <xdr:col>5</xdr:col>
      <xdr:colOff>361950</xdr:colOff>
      <xdr:row>84</xdr:row>
      <xdr:rowOff>123825</xdr:rowOff>
    </xdr:to>
    <xdr:sp macro="" textlink="">
      <xdr:nvSpPr>
        <xdr:cNvPr id="20506" name="Text Box 26">
          <a:extLst>
            <a:ext uri="{FF2B5EF4-FFF2-40B4-BE49-F238E27FC236}">
              <a16:creationId xmlns:a16="http://schemas.microsoft.com/office/drawing/2014/main" id="{00000000-0008-0000-0200-00001A500000}"/>
            </a:ext>
          </a:extLst>
        </xdr:cNvPr>
        <xdr:cNvSpPr txBox="1">
          <a:spLocks noChangeArrowheads="1"/>
        </xdr:cNvSpPr>
      </xdr:nvSpPr>
      <xdr:spPr bwMode="auto">
        <a:xfrm>
          <a:off x="1876425" y="14754225"/>
          <a:ext cx="5048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DN 50</a:t>
          </a:r>
        </a:p>
      </xdr:txBody>
    </xdr:sp>
    <xdr:clientData/>
  </xdr:twoCellAnchor>
  <xdr:twoCellAnchor>
    <xdr:from>
      <xdr:col>7</xdr:col>
      <xdr:colOff>247650</xdr:colOff>
      <xdr:row>83</xdr:row>
      <xdr:rowOff>95250</xdr:rowOff>
    </xdr:from>
    <xdr:to>
      <xdr:col>8</xdr:col>
      <xdr:colOff>57150</xdr:colOff>
      <xdr:row>84</xdr:row>
      <xdr:rowOff>123825</xdr:rowOff>
    </xdr:to>
    <xdr:sp macro="" textlink="">
      <xdr:nvSpPr>
        <xdr:cNvPr id="20507" name="Text Box 27">
          <a:extLst>
            <a:ext uri="{FF2B5EF4-FFF2-40B4-BE49-F238E27FC236}">
              <a16:creationId xmlns:a16="http://schemas.microsoft.com/office/drawing/2014/main" id="{00000000-0008-0000-0200-00001B500000}"/>
            </a:ext>
          </a:extLst>
        </xdr:cNvPr>
        <xdr:cNvSpPr txBox="1">
          <a:spLocks noChangeArrowheads="1"/>
        </xdr:cNvSpPr>
      </xdr:nvSpPr>
      <xdr:spPr bwMode="auto">
        <a:xfrm>
          <a:off x="3943350" y="14754225"/>
          <a:ext cx="7334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3,6</a:t>
          </a:r>
        </a:p>
      </xdr:txBody>
    </xdr:sp>
    <xdr:clientData/>
  </xdr:twoCellAnchor>
  <xdr:twoCellAnchor>
    <xdr:from>
      <xdr:col>2</xdr:col>
      <xdr:colOff>219075</xdr:colOff>
      <xdr:row>77</xdr:row>
      <xdr:rowOff>0</xdr:rowOff>
    </xdr:from>
    <xdr:to>
      <xdr:col>4</xdr:col>
      <xdr:colOff>123825</xdr:colOff>
      <xdr:row>78</xdr:row>
      <xdr:rowOff>28575</xdr:rowOff>
    </xdr:to>
    <xdr:sp macro="" textlink="">
      <xdr:nvSpPr>
        <xdr:cNvPr id="20509" name="Text Box 29">
          <a:extLst>
            <a:ext uri="{FF2B5EF4-FFF2-40B4-BE49-F238E27FC236}">
              <a16:creationId xmlns:a16="http://schemas.microsoft.com/office/drawing/2014/main" id="{00000000-0008-0000-0200-00001D500000}"/>
            </a:ext>
          </a:extLst>
        </xdr:cNvPr>
        <xdr:cNvSpPr txBox="1">
          <a:spLocks noChangeArrowheads="1"/>
        </xdr:cNvSpPr>
      </xdr:nvSpPr>
      <xdr:spPr bwMode="auto">
        <a:xfrm>
          <a:off x="542925" y="13687425"/>
          <a:ext cx="6762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16,1</a:t>
          </a:r>
        </a:p>
      </xdr:txBody>
    </xdr:sp>
    <xdr:clientData/>
  </xdr:twoCellAnchor>
  <xdr:twoCellAnchor>
    <xdr:from>
      <xdr:col>2</xdr:col>
      <xdr:colOff>219075</xdr:colOff>
      <xdr:row>78</xdr:row>
      <xdr:rowOff>47625</xdr:rowOff>
    </xdr:from>
    <xdr:to>
      <xdr:col>4</xdr:col>
      <xdr:colOff>123825</xdr:colOff>
      <xdr:row>79</xdr:row>
      <xdr:rowOff>76200</xdr:rowOff>
    </xdr:to>
    <xdr:sp macro="" textlink="">
      <xdr:nvSpPr>
        <xdr:cNvPr id="20510" name="Text Box 30">
          <a:extLst>
            <a:ext uri="{FF2B5EF4-FFF2-40B4-BE49-F238E27FC236}">
              <a16:creationId xmlns:a16="http://schemas.microsoft.com/office/drawing/2014/main" id="{00000000-0008-0000-0200-00001E500000}"/>
            </a:ext>
          </a:extLst>
        </xdr:cNvPr>
        <xdr:cNvSpPr txBox="1">
          <a:spLocks noChangeArrowheads="1"/>
        </xdr:cNvSpPr>
      </xdr:nvSpPr>
      <xdr:spPr bwMode="auto">
        <a:xfrm>
          <a:off x="542925" y="13896975"/>
          <a:ext cx="6762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21,7</a:t>
          </a:r>
        </a:p>
      </xdr:txBody>
    </xdr:sp>
    <xdr:clientData/>
  </xdr:twoCellAnchor>
  <xdr:twoCellAnchor>
    <xdr:from>
      <xdr:col>2</xdr:col>
      <xdr:colOff>219075</xdr:colOff>
      <xdr:row>79</xdr:row>
      <xdr:rowOff>104775</xdr:rowOff>
    </xdr:from>
    <xdr:to>
      <xdr:col>4</xdr:col>
      <xdr:colOff>123825</xdr:colOff>
      <xdr:row>80</xdr:row>
      <xdr:rowOff>133350</xdr:rowOff>
    </xdr:to>
    <xdr:sp macro="" textlink="">
      <xdr:nvSpPr>
        <xdr:cNvPr id="20511" name="Text Box 31">
          <a:extLst>
            <a:ext uri="{FF2B5EF4-FFF2-40B4-BE49-F238E27FC236}">
              <a16:creationId xmlns:a16="http://schemas.microsoft.com/office/drawing/2014/main" id="{00000000-0008-0000-0200-00001F500000}"/>
            </a:ext>
          </a:extLst>
        </xdr:cNvPr>
        <xdr:cNvSpPr txBox="1">
          <a:spLocks noChangeArrowheads="1"/>
        </xdr:cNvSpPr>
      </xdr:nvSpPr>
      <xdr:spPr bwMode="auto">
        <a:xfrm>
          <a:off x="542925" y="14116050"/>
          <a:ext cx="6762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27,3</a:t>
          </a:r>
        </a:p>
      </xdr:txBody>
    </xdr:sp>
    <xdr:clientData/>
  </xdr:twoCellAnchor>
  <xdr:twoCellAnchor>
    <xdr:from>
      <xdr:col>2</xdr:col>
      <xdr:colOff>219075</xdr:colOff>
      <xdr:row>80</xdr:row>
      <xdr:rowOff>152400</xdr:rowOff>
    </xdr:from>
    <xdr:to>
      <xdr:col>4</xdr:col>
      <xdr:colOff>123825</xdr:colOff>
      <xdr:row>82</xdr:row>
      <xdr:rowOff>19050</xdr:rowOff>
    </xdr:to>
    <xdr:sp macro="" textlink="">
      <xdr:nvSpPr>
        <xdr:cNvPr id="20512" name="Text Box 32">
          <a:extLst>
            <a:ext uri="{FF2B5EF4-FFF2-40B4-BE49-F238E27FC236}">
              <a16:creationId xmlns:a16="http://schemas.microsoft.com/office/drawing/2014/main" id="{00000000-0008-0000-0200-000020500000}"/>
            </a:ext>
          </a:extLst>
        </xdr:cNvPr>
        <xdr:cNvSpPr txBox="1">
          <a:spLocks noChangeArrowheads="1"/>
        </xdr:cNvSpPr>
      </xdr:nvSpPr>
      <xdr:spPr bwMode="auto">
        <a:xfrm>
          <a:off x="542925" y="14325600"/>
          <a:ext cx="6762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36,0</a:t>
          </a:r>
        </a:p>
      </xdr:txBody>
    </xdr:sp>
    <xdr:clientData/>
  </xdr:twoCellAnchor>
  <xdr:twoCellAnchor>
    <xdr:from>
      <xdr:col>2</xdr:col>
      <xdr:colOff>219075</xdr:colOff>
      <xdr:row>82</xdr:row>
      <xdr:rowOff>38100</xdr:rowOff>
    </xdr:from>
    <xdr:to>
      <xdr:col>4</xdr:col>
      <xdr:colOff>123825</xdr:colOff>
      <xdr:row>83</xdr:row>
      <xdr:rowOff>76200</xdr:rowOff>
    </xdr:to>
    <xdr:sp macro="" textlink="">
      <xdr:nvSpPr>
        <xdr:cNvPr id="20513" name="Text Box 33">
          <a:extLst>
            <a:ext uri="{FF2B5EF4-FFF2-40B4-BE49-F238E27FC236}">
              <a16:creationId xmlns:a16="http://schemas.microsoft.com/office/drawing/2014/main" id="{00000000-0008-0000-0200-000021500000}"/>
            </a:ext>
          </a:extLst>
        </xdr:cNvPr>
        <xdr:cNvSpPr txBox="1">
          <a:spLocks noChangeArrowheads="1"/>
        </xdr:cNvSpPr>
      </xdr:nvSpPr>
      <xdr:spPr bwMode="auto">
        <a:xfrm>
          <a:off x="542925" y="14535150"/>
          <a:ext cx="67627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41,9</a:t>
          </a:r>
        </a:p>
      </xdr:txBody>
    </xdr:sp>
    <xdr:clientData/>
  </xdr:twoCellAnchor>
  <xdr:twoCellAnchor>
    <xdr:from>
      <xdr:col>2</xdr:col>
      <xdr:colOff>219075</xdr:colOff>
      <xdr:row>83</xdr:row>
      <xdr:rowOff>95250</xdr:rowOff>
    </xdr:from>
    <xdr:to>
      <xdr:col>4</xdr:col>
      <xdr:colOff>123825</xdr:colOff>
      <xdr:row>84</xdr:row>
      <xdr:rowOff>123825</xdr:rowOff>
    </xdr:to>
    <xdr:sp macro="" textlink="">
      <xdr:nvSpPr>
        <xdr:cNvPr id="20514" name="Text Box 34">
          <a:extLst>
            <a:ext uri="{FF2B5EF4-FFF2-40B4-BE49-F238E27FC236}">
              <a16:creationId xmlns:a16="http://schemas.microsoft.com/office/drawing/2014/main" id="{00000000-0008-0000-0200-000022500000}"/>
            </a:ext>
          </a:extLst>
        </xdr:cNvPr>
        <xdr:cNvSpPr txBox="1">
          <a:spLocks noChangeArrowheads="1"/>
        </xdr:cNvSpPr>
      </xdr:nvSpPr>
      <xdr:spPr bwMode="auto">
        <a:xfrm>
          <a:off x="542925" y="14754225"/>
          <a:ext cx="6762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53,1</a:t>
          </a:r>
        </a:p>
      </xdr:txBody>
    </xdr:sp>
    <xdr:clientData/>
  </xdr:twoCellAnchor>
  <xdr:twoCellAnchor>
    <xdr:from>
      <xdr:col>4</xdr:col>
      <xdr:colOff>180975</xdr:colOff>
      <xdr:row>73</xdr:row>
      <xdr:rowOff>0</xdr:rowOff>
    </xdr:from>
    <xdr:to>
      <xdr:col>5</xdr:col>
      <xdr:colOff>361950</xdr:colOff>
      <xdr:row>75</xdr:row>
      <xdr:rowOff>76200</xdr:rowOff>
    </xdr:to>
    <xdr:sp macro="" textlink="">
      <xdr:nvSpPr>
        <xdr:cNvPr id="20515" name="Text Box 35">
          <a:extLst>
            <a:ext uri="{FF2B5EF4-FFF2-40B4-BE49-F238E27FC236}">
              <a16:creationId xmlns:a16="http://schemas.microsoft.com/office/drawing/2014/main" id="{00000000-0008-0000-0200-000023500000}"/>
            </a:ext>
          </a:extLst>
        </xdr:cNvPr>
        <xdr:cNvSpPr txBox="1">
          <a:spLocks noChangeArrowheads="1"/>
        </xdr:cNvSpPr>
      </xdr:nvSpPr>
      <xdr:spPr bwMode="auto">
        <a:xfrm>
          <a:off x="1276350" y="13039725"/>
          <a:ext cx="1104900" cy="400050"/>
        </a:xfrm>
        <a:prstGeom prst="rect">
          <a:avLst/>
        </a:prstGeom>
        <a:solidFill>
          <a:schemeClr val="accent6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Diâmetro Nominal</a:t>
          </a:r>
        </a:p>
      </xdr:txBody>
    </xdr:sp>
    <xdr:clientData/>
  </xdr:twoCellAnchor>
  <xdr:twoCellAnchor>
    <xdr:from>
      <xdr:col>4</xdr:col>
      <xdr:colOff>180975</xdr:colOff>
      <xdr:row>75</xdr:row>
      <xdr:rowOff>85725</xdr:rowOff>
    </xdr:from>
    <xdr:to>
      <xdr:col>4</xdr:col>
      <xdr:colOff>762000</xdr:colOff>
      <xdr:row>76</xdr:row>
      <xdr:rowOff>142875</xdr:rowOff>
    </xdr:to>
    <xdr:sp macro="" textlink="">
      <xdr:nvSpPr>
        <xdr:cNvPr id="20516" name="Text Box 36">
          <a:extLst>
            <a:ext uri="{FF2B5EF4-FFF2-40B4-BE49-F238E27FC236}">
              <a16:creationId xmlns:a16="http://schemas.microsoft.com/office/drawing/2014/main" id="{00000000-0008-0000-0200-000024500000}"/>
            </a:ext>
          </a:extLst>
        </xdr:cNvPr>
        <xdr:cNvSpPr txBox="1">
          <a:spLocks noChangeArrowheads="1"/>
        </xdr:cNvSpPr>
      </xdr:nvSpPr>
      <xdr:spPr bwMode="auto">
        <a:xfrm>
          <a:off x="1276350" y="13449300"/>
          <a:ext cx="581025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(R)</a:t>
          </a:r>
        </a:p>
      </xdr:txBody>
    </xdr:sp>
    <xdr:clientData/>
  </xdr:twoCellAnchor>
  <xdr:twoCellAnchor>
    <xdr:from>
      <xdr:col>4</xdr:col>
      <xdr:colOff>180975</xdr:colOff>
      <xdr:row>76</xdr:row>
      <xdr:rowOff>152400</xdr:rowOff>
    </xdr:from>
    <xdr:to>
      <xdr:col>4</xdr:col>
      <xdr:colOff>762000</xdr:colOff>
      <xdr:row>78</xdr:row>
      <xdr:rowOff>28575</xdr:rowOff>
    </xdr:to>
    <xdr:sp macro="" textlink="">
      <xdr:nvSpPr>
        <xdr:cNvPr id="20517" name="Text Box 37">
          <a:extLst>
            <a:ext uri="{FF2B5EF4-FFF2-40B4-BE49-F238E27FC236}">
              <a16:creationId xmlns:a16="http://schemas.microsoft.com/office/drawing/2014/main" id="{00000000-0008-0000-0200-000025500000}"/>
            </a:ext>
          </a:extLst>
        </xdr:cNvPr>
        <xdr:cNvSpPr txBox="1">
          <a:spLocks noChangeArrowheads="1"/>
        </xdr:cNvSpPr>
      </xdr:nvSpPr>
      <xdr:spPr bwMode="auto">
        <a:xfrm>
          <a:off x="1276350" y="13677900"/>
          <a:ext cx="58102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1/2</a:t>
          </a:r>
        </a:p>
      </xdr:txBody>
    </xdr:sp>
    <xdr:clientData/>
  </xdr:twoCellAnchor>
  <xdr:twoCellAnchor>
    <xdr:from>
      <xdr:col>4</xdr:col>
      <xdr:colOff>180975</xdr:colOff>
      <xdr:row>78</xdr:row>
      <xdr:rowOff>47625</xdr:rowOff>
    </xdr:from>
    <xdr:to>
      <xdr:col>4</xdr:col>
      <xdr:colOff>762000</xdr:colOff>
      <xdr:row>79</xdr:row>
      <xdr:rowOff>76200</xdr:rowOff>
    </xdr:to>
    <xdr:sp macro="" textlink="">
      <xdr:nvSpPr>
        <xdr:cNvPr id="20518" name="Text Box 38">
          <a:extLst>
            <a:ext uri="{FF2B5EF4-FFF2-40B4-BE49-F238E27FC236}">
              <a16:creationId xmlns:a16="http://schemas.microsoft.com/office/drawing/2014/main" id="{00000000-0008-0000-0200-000026500000}"/>
            </a:ext>
          </a:extLst>
        </xdr:cNvPr>
        <xdr:cNvSpPr txBox="1">
          <a:spLocks noChangeArrowheads="1"/>
        </xdr:cNvSpPr>
      </xdr:nvSpPr>
      <xdr:spPr bwMode="auto">
        <a:xfrm>
          <a:off x="1276350" y="13896975"/>
          <a:ext cx="5810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3/4</a:t>
          </a:r>
        </a:p>
      </xdr:txBody>
    </xdr:sp>
    <xdr:clientData/>
  </xdr:twoCellAnchor>
  <xdr:twoCellAnchor>
    <xdr:from>
      <xdr:col>4</xdr:col>
      <xdr:colOff>180975</xdr:colOff>
      <xdr:row>79</xdr:row>
      <xdr:rowOff>104775</xdr:rowOff>
    </xdr:from>
    <xdr:to>
      <xdr:col>4</xdr:col>
      <xdr:colOff>762000</xdr:colOff>
      <xdr:row>80</xdr:row>
      <xdr:rowOff>133350</xdr:rowOff>
    </xdr:to>
    <xdr:sp macro="" textlink="">
      <xdr:nvSpPr>
        <xdr:cNvPr id="20519" name="Text Box 39">
          <a:extLst>
            <a:ext uri="{FF2B5EF4-FFF2-40B4-BE49-F238E27FC236}">
              <a16:creationId xmlns:a16="http://schemas.microsoft.com/office/drawing/2014/main" id="{00000000-0008-0000-0200-000027500000}"/>
            </a:ext>
          </a:extLst>
        </xdr:cNvPr>
        <xdr:cNvSpPr txBox="1">
          <a:spLocks noChangeArrowheads="1"/>
        </xdr:cNvSpPr>
      </xdr:nvSpPr>
      <xdr:spPr bwMode="auto">
        <a:xfrm>
          <a:off x="1276350" y="14116050"/>
          <a:ext cx="5810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1</a:t>
          </a:r>
        </a:p>
      </xdr:txBody>
    </xdr:sp>
    <xdr:clientData/>
  </xdr:twoCellAnchor>
  <xdr:twoCellAnchor>
    <xdr:from>
      <xdr:col>4</xdr:col>
      <xdr:colOff>180975</xdr:colOff>
      <xdr:row>80</xdr:row>
      <xdr:rowOff>152400</xdr:rowOff>
    </xdr:from>
    <xdr:to>
      <xdr:col>4</xdr:col>
      <xdr:colOff>762000</xdr:colOff>
      <xdr:row>82</xdr:row>
      <xdr:rowOff>19050</xdr:rowOff>
    </xdr:to>
    <xdr:sp macro="" textlink="">
      <xdr:nvSpPr>
        <xdr:cNvPr id="20520" name="Text Box 40">
          <a:extLst>
            <a:ext uri="{FF2B5EF4-FFF2-40B4-BE49-F238E27FC236}">
              <a16:creationId xmlns:a16="http://schemas.microsoft.com/office/drawing/2014/main" id="{00000000-0008-0000-0200-000028500000}"/>
            </a:ext>
          </a:extLst>
        </xdr:cNvPr>
        <xdr:cNvSpPr txBox="1">
          <a:spLocks noChangeArrowheads="1"/>
        </xdr:cNvSpPr>
      </xdr:nvSpPr>
      <xdr:spPr bwMode="auto">
        <a:xfrm>
          <a:off x="1276350" y="14325600"/>
          <a:ext cx="5810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1 1/4</a:t>
          </a:r>
        </a:p>
      </xdr:txBody>
    </xdr:sp>
    <xdr:clientData/>
  </xdr:twoCellAnchor>
  <xdr:twoCellAnchor>
    <xdr:from>
      <xdr:col>4</xdr:col>
      <xdr:colOff>180975</xdr:colOff>
      <xdr:row>82</xdr:row>
      <xdr:rowOff>38100</xdr:rowOff>
    </xdr:from>
    <xdr:to>
      <xdr:col>4</xdr:col>
      <xdr:colOff>762000</xdr:colOff>
      <xdr:row>83</xdr:row>
      <xdr:rowOff>76200</xdr:rowOff>
    </xdr:to>
    <xdr:sp macro="" textlink="">
      <xdr:nvSpPr>
        <xdr:cNvPr id="20521" name="Text Box 41">
          <a:extLst>
            <a:ext uri="{FF2B5EF4-FFF2-40B4-BE49-F238E27FC236}">
              <a16:creationId xmlns:a16="http://schemas.microsoft.com/office/drawing/2014/main" id="{00000000-0008-0000-0200-000029500000}"/>
            </a:ext>
          </a:extLst>
        </xdr:cNvPr>
        <xdr:cNvSpPr txBox="1">
          <a:spLocks noChangeArrowheads="1"/>
        </xdr:cNvSpPr>
      </xdr:nvSpPr>
      <xdr:spPr bwMode="auto">
        <a:xfrm>
          <a:off x="1276350" y="14535150"/>
          <a:ext cx="58102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1 1/2</a:t>
          </a:r>
        </a:p>
      </xdr:txBody>
    </xdr:sp>
    <xdr:clientData/>
  </xdr:twoCellAnchor>
  <xdr:twoCellAnchor>
    <xdr:from>
      <xdr:col>4</xdr:col>
      <xdr:colOff>180975</xdr:colOff>
      <xdr:row>83</xdr:row>
      <xdr:rowOff>95250</xdr:rowOff>
    </xdr:from>
    <xdr:to>
      <xdr:col>4</xdr:col>
      <xdr:colOff>762000</xdr:colOff>
      <xdr:row>84</xdr:row>
      <xdr:rowOff>123825</xdr:rowOff>
    </xdr:to>
    <xdr:sp macro="" textlink="">
      <xdr:nvSpPr>
        <xdr:cNvPr id="20522" name="Text Box 42">
          <a:extLst>
            <a:ext uri="{FF2B5EF4-FFF2-40B4-BE49-F238E27FC236}">
              <a16:creationId xmlns:a16="http://schemas.microsoft.com/office/drawing/2014/main" id="{00000000-0008-0000-0200-00002A500000}"/>
            </a:ext>
          </a:extLst>
        </xdr:cNvPr>
        <xdr:cNvSpPr txBox="1">
          <a:spLocks noChangeArrowheads="1"/>
        </xdr:cNvSpPr>
      </xdr:nvSpPr>
      <xdr:spPr bwMode="auto">
        <a:xfrm>
          <a:off x="1276350" y="14754225"/>
          <a:ext cx="58102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2</a:t>
          </a:r>
        </a:p>
      </xdr:txBody>
    </xdr:sp>
    <xdr:clientData/>
  </xdr:twoCellAnchor>
  <xdr:twoCellAnchor>
    <xdr:from>
      <xdr:col>2</xdr:col>
      <xdr:colOff>219075</xdr:colOff>
      <xdr:row>72</xdr:row>
      <xdr:rowOff>152400</xdr:rowOff>
    </xdr:from>
    <xdr:to>
      <xdr:col>4</xdr:col>
      <xdr:colOff>123825</xdr:colOff>
      <xdr:row>76</xdr:row>
      <xdr:rowOff>142875</xdr:rowOff>
    </xdr:to>
    <xdr:sp macro="" textlink="">
      <xdr:nvSpPr>
        <xdr:cNvPr id="20523" name="Text Box 43">
          <a:extLst>
            <a:ext uri="{FF2B5EF4-FFF2-40B4-BE49-F238E27FC236}">
              <a16:creationId xmlns:a16="http://schemas.microsoft.com/office/drawing/2014/main" id="{00000000-0008-0000-0200-00002B500000}"/>
            </a:ext>
          </a:extLst>
        </xdr:cNvPr>
        <xdr:cNvSpPr txBox="1">
          <a:spLocks noChangeArrowheads="1"/>
        </xdr:cNvSpPr>
      </xdr:nvSpPr>
      <xdr:spPr bwMode="auto">
        <a:xfrm>
          <a:off x="542925" y="13030200"/>
          <a:ext cx="676275" cy="638175"/>
        </a:xfrm>
        <a:prstGeom prst="rect">
          <a:avLst/>
        </a:prstGeom>
        <a:solidFill>
          <a:schemeClr val="accent6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54000" tIns="54000" rIns="54000" bIns="54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Diâmetro </a:t>
          </a:r>
        </a:p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Interior</a:t>
          </a:r>
        </a:p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</a:t>
          </a:r>
          <a:r>
            <a:rPr lang="pt-PT" sz="1000" b="1" i="0" u="none" strike="noStrike" baseline="-25000">
              <a:solidFill>
                <a:srgbClr val="FFFFFF"/>
              </a:solidFill>
              <a:latin typeface="Arial"/>
              <a:cs typeface="Arial"/>
            </a:rPr>
            <a:t>i </a:t>
          </a: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(mm)</a:t>
          </a:r>
        </a:p>
      </xdr:txBody>
    </xdr:sp>
    <xdr:clientData/>
  </xdr:twoCellAnchor>
  <xdr:twoCellAnchor>
    <xdr:from>
      <xdr:col>4</xdr:col>
      <xdr:colOff>781050</xdr:colOff>
      <xdr:row>75</xdr:row>
      <xdr:rowOff>85725</xdr:rowOff>
    </xdr:from>
    <xdr:to>
      <xdr:col>5</xdr:col>
      <xdr:colOff>361950</xdr:colOff>
      <xdr:row>76</xdr:row>
      <xdr:rowOff>142875</xdr:rowOff>
    </xdr:to>
    <xdr:sp macro="" textlink="">
      <xdr:nvSpPr>
        <xdr:cNvPr id="20524" name="Text Box 44">
          <a:extLst>
            <a:ext uri="{FF2B5EF4-FFF2-40B4-BE49-F238E27FC236}">
              <a16:creationId xmlns:a16="http://schemas.microsoft.com/office/drawing/2014/main" id="{00000000-0008-0000-0200-00002C500000}"/>
            </a:ext>
          </a:extLst>
        </xdr:cNvPr>
        <xdr:cNvSpPr txBox="1">
          <a:spLocks noChangeArrowheads="1"/>
        </xdr:cNvSpPr>
      </xdr:nvSpPr>
      <xdr:spPr bwMode="auto">
        <a:xfrm>
          <a:off x="1876425" y="13449300"/>
          <a:ext cx="504825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(DN)</a:t>
          </a:r>
        </a:p>
      </xdr:txBody>
    </xdr:sp>
    <xdr:clientData/>
  </xdr:twoCellAnchor>
  <xdr:twoCellAnchor>
    <xdr:from>
      <xdr:col>5</xdr:col>
      <xdr:colOff>409575</xdr:colOff>
      <xdr:row>77</xdr:row>
      <xdr:rowOff>0</xdr:rowOff>
    </xdr:from>
    <xdr:to>
      <xdr:col>6</xdr:col>
      <xdr:colOff>28575</xdr:colOff>
      <xdr:row>78</xdr:row>
      <xdr:rowOff>28575</xdr:rowOff>
    </xdr:to>
    <xdr:sp macro="" textlink="">
      <xdr:nvSpPr>
        <xdr:cNvPr id="20525" name="Text Box 45">
          <a:extLst>
            <a:ext uri="{FF2B5EF4-FFF2-40B4-BE49-F238E27FC236}">
              <a16:creationId xmlns:a16="http://schemas.microsoft.com/office/drawing/2014/main" id="{00000000-0008-0000-0200-00002D500000}"/>
            </a:ext>
          </a:extLst>
        </xdr:cNvPr>
        <xdr:cNvSpPr txBox="1">
          <a:spLocks noChangeArrowheads="1"/>
        </xdr:cNvSpPr>
      </xdr:nvSpPr>
      <xdr:spPr bwMode="auto">
        <a:xfrm>
          <a:off x="2428875" y="13687425"/>
          <a:ext cx="5334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21,3</a:t>
          </a:r>
        </a:p>
      </xdr:txBody>
    </xdr:sp>
    <xdr:clientData/>
  </xdr:twoCellAnchor>
  <xdr:twoCellAnchor>
    <xdr:from>
      <xdr:col>5</xdr:col>
      <xdr:colOff>409575</xdr:colOff>
      <xdr:row>78</xdr:row>
      <xdr:rowOff>47625</xdr:rowOff>
    </xdr:from>
    <xdr:to>
      <xdr:col>6</xdr:col>
      <xdr:colOff>28575</xdr:colOff>
      <xdr:row>79</xdr:row>
      <xdr:rowOff>76200</xdr:rowOff>
    </xdr:to>
    <xdr:sp macro="" textlink="">
      <xdr:nvSpPr>
        <xdr:cNvPr id="20526" name="Text Box 46">
          <a:extLst>
            <a:ext uri="{FF2B5EF4-FFF2-40B4-BE49-F238E27FC236}">
              <a16:creationId xmlns:a16="http://schemas.microsoft.com/office/drawing/2014/main" id="{00000000-0008-0000-0200-00002E500000}"/>
            </a:ext>
          </a:extLst>
        </xdr:cNvPr>
        <xdr:cNvSpPr txBox="1">
          <a:spLocks noChangeArrowheads="1"/>
        </xdr:cNvSpPr>
      </xdr:nvSpPr>
      <xdr:spPr bwMode="auto">
        <a:xfrm>
          <a:off x="2428875" y="13896975"/>
          <a:ext cx="5334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26,9</a:t>
          </a:r>
        </a:p>
      </xdr:txBody>
    </xdr:sp>
    <xdr:clientData/>
  </xdr:twoCellAnchor>
  <xdr:twoCellAnchor>
    <xdr:from>
      <xdr:col>5</xdr:col>
      <xdr:colOff>409575</xdr:colOff>
      <xdr:row>79</xdr:row>
      <xdr:rowOff>104775</xdr:rowOff>
    </xdr:from>
    <xdr:to>
      <xdr:col>6</xdr:col>
      <xdr:colOff>28575</xdr:colOff>
      <xdr:row>80</xdr:row>
      <xdr:rowOff>133350</xdr:rowOff>
    </xdr:to>
    <xdr:sp macro="" textlink="">
      <xdr:nvSpPr>
        <xdr:cNvPr id="20527" name="Text Box 47">
          <a:extLst>
            <a:ext uri="{FF2B5EF4-FFF2-40B4-BE49-F238E27FC236}">
              <a16:creationId xmlns:a16="http://schemas.microsoft.com/office/drawing/2014/main" id="{00000000-0008-0000-0200-00002F500000}"/>
            </a:ext>
          </a:extLst>
        </xdr:cNvPr>
        <xdr:cNvSpPr txBox="1">
          <a:spLocks noChangeArrowheads="1"/>
        </xdr:cNvSpPr>
      </xdr:nvSpPr>
      <xdr:spPr bwMode="auto">
        <a:xfrm>
          <a:off x="2428875" y="14116050"/>
          <a:ext cx="5334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33,7</a:t>
          </a:r>
        </a:p>
      </xdr:txBody>
    </xdr:sp>
    <xdr:clientData/>
  </xdr:twoCellAnchor>
  <xdr:twoCellAnchor>
    <xdr:from>
      <xdr:col>5</xdr:col>
      <xdr:colOff>409575</xdr:colOff>
      <xdr:row>80</xdr:row>
      <xdr:rowOff>152400</xdr:rowOff>
    </xdr:from>
    <xdr:to>
      <xdr:col>6</xdr:col>
      <xdr:colOff>28575</xdr:colOff>
      <xdr:row>82</xdr:row>
      <xdr:rowOff>19050</xdr:rowOff>
    </xdr:to>
    <xdr:sp macro="" textlink="">
      <xdr:nvSpPr>
        <xdr:cNvPr id="20528" name="Text Box 48">
          <a:extLst>
            <a:ext uri="{FF2B5EF4-FFF2-40B4-BE49-F238E27FC236}">
              <a16:creationId xmlns:a16="http://schemas.microsoft.com/office/drawing/2014/main" id="{00000000-0008-0000-0200-000030500000}"/>
            </a:ext>
          </a:extLst>
        </xdr:cNvPr>
        <xdr:cNvSpPr txBox="1">
          <a:spLocks noChangeArrowheads="1"/>
        </xdr:cNvSpPr>
      </xdr:nvSpPr>
      <xdr:spPr bwMode="auto">
        <a:xfrm>
          <a:off x="2428875" y="14325600"/>
          <a:ext cx="5334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42,4</a:t>
          </a:r>
        </a:p>
      </xdr:txBody>
    </xdr:sp>
    <xdr:clientData/>
  </xdr:twoCellAnchor>
  <xdr:twoCellAnchor>
    <xdr:from>
      <xdr:col>5</xdr:col>
      <xdr:colOff>409575</xdr:colOff>
      <xdr:row>82</xdr:row>
      <xdr:rowOff>38100</xdr:rowOff>
    </xdr:from>
    <xdr:to>
      <xdr:col>6</xdr:col>
      <xdr:colOff>28575</xdr:colOff>
      <xdr:row>83</xdr:row>
      <xdr:rowOff>76200</xdr:rowOff>
    </xdr:to>
    <xdr:sp macro="" textlink="">
      <xdr:nvSpPr>
        <xdr:cNvPr id="20529" name="Text Box 49">
          <a:extLst>
            <a:ext uri="{FF2B5EF4-FFF2-40B4-BE49-F238E27FC236}">
              <a16:creationId xmlns:a16="http://schemas.microsoft.com/office/drawing/2014/main" id="{00000000-0008-0000-0200-000031500000}"/>
            </a:ext>
          </a:extLst>
        </xdr:cNvPr>
        <xdr:cNvSpPr txBox="1">
          <a:spLocks noChangeArrowheads="1"/>
        </xdr:cNvSpPr>
      </xdr:nvSpPr>
      <xdr:spPr bwMode="auto">
        <a:xfrm>
          <a:off x="2428875" y="14535150"/>
          <a:ext cx="533400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48,3</a:t>
          </a:r>
        </a:p>
      </xdr:txBody>
    </xdr:sp>
    <xdr:clientData/>
  </xdr:twoCellAnchor>
  <xdr:twoCellAnchor>
    <xdr:from>
      <xdr:col>5</xdr:col>
      <xdr:colOff>409575</xdr:colOff>
      <xdr:row>83</xdr:row>
      <xdr:rowOff>95250</xdr:rowOff>
    </xdr:from>
    <xdr:to>
      <xdr:col>6</xdr:col>
      <xdr:colOff>28575</xdr:colOff>
      <xdr:row>84</xdr:row>
      <xdr:rowOff>123825</xdr:rowOff>
    </xdr:to>
    <xdr:sp macro="" textlink="">
      <xdr:nvSpPr>
        <xdr:cNvPr id="20530" name="Text Box 50">
          <a:extLst>
            <a:ext uri="{FF2B5EF4-FFF2-40B4-BE49-F238E27FC236}">
              <a16:creationId xmlns:a16="http://schemas.microsoft.com/office/drawing/2014/main" id="{00000000-0008-0000-0200-000032500000}"/>
            </a:ext>
          </a:extLst>
        </xdr:cNvPr>
        <xdr:cNvSpPr txBox="1">
          <a:spLocks noChangeArrowheads="1"/>
        </xdr:cNvSpPr>
      </xdr:nvSpPr>
      <xdr:spPr bwMode="auto">
        <a:xfrm>
          <a:off x="2428875" y="14754225"/>
          <a:ext cx="5334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60,3</a:t>
          </a:r>
        </a:p>
      </xdr:txBody>
    </xdr:sp>
    <xdr:clientData/>
  </xdr:twoCellAnchor>
  <xdr:twoCellAnchor>
    <xdr:from>
      <xdr:col>5</xdr:col>
      <xdr:colOff>400050</xdr:colOff>
      <xdr:row>75</xdr:row>
      <xdr:rowOff>85725</xdr:rowOff>
    </xdr:from>
    <xdr:to>
      <xdr:col>6</xdr:col>
      <xdr:colOff>28575</xdr:colOff>
      <xdr:row>76</xdr:row>
      <xdr:rowOff>142875</xdr:rowOff>
    </xdr:to>
    <xdr:sp macro="" textlink="">
      <xdr:nvSpPr>
        <xdr:cNvPr id="20531" name="Text Box 51">
          <a:extLst>
            <a:ext uri="{FF2B5EF4-FFF2-40B4-BE49-F238E27FC236}">
              <a16:creationId xmlns:a16="http://schemas.microsoft.com/office/drawing/2014/main" id="{00000000-0008-0000-0200-000033500000}"/>
            </a:ext>
          </a:extLst>
        </xdr:cNvPr>
        <xdr:cNvSpPr txBox="1">
          <a:spLocks noChangeArrowheads="1"/>
        </xdr:cNvSpPr>
      </xdr:nvSpPr>
      <xdr:spPr bwMode="auto">
        <a:xfrm>
          <a:off x="2419350" y="13449300"/>
          <a:ext cx="542925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Nominal</a:t>
          </a:r>
        </a:p>
      </xdr:txBody>
    </xdr:sp>
    <xdr:clientData/>
  </xdr:twoCellAnchor>
  <xdr:twoCellAnchor>
    <xdr:from>
      <xdr:col>6</xdr:col>
      <xdr:colOff>47625</xdr:colOff>
      <xdr:row>77</xdr:row>
      <xdr:rowOff>0</xdr:rowOff>
    </xdr:from>
    <xdr:to>
      <xdr:col>6</xdr:col>
      <xdr:colOff>504825</xdr:colOff>
      <xdr:row>78</xdr:row>
      <xdr:rowOff>28575</xdr:rowOff>
    </xdr:to>
    <xdr:sp macro="" textlink="">
      <xdr:nvSpPr>
        <xdr:cNvPr id="20532" name="Text Box 52">
          <a:extLst>
            <a:ext uri="{FF2B5EF4-FFF2-40B4-BE49-F238E27FC236}">
              <a16:creationId xmlns:a16="http://schemas.microsoft.com/office/drawing/2014/main" id="{00000000-0008-0000-0200-000034500000}"/>
            </a:ext>
          </a:extLst>
        </xdr:cNvPr>
        <xdr:cNvSpPr txBox="1">
          <a:spLocks noChangeArrowheads="1"/>
        </xdr:cNvSpPr>
      </xdr:nvSpPr>
      <xdr:spPr bwMode="auto">
        <a:xfrm>
          <a:off x="2981325" y="13687425"/>
          <a:ext cx="4572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21,7</a:t>
          </a:r>
        </a:p>
      </xdr:txBody>
    </xdr:sp>
    <xdr:clientData/>
  </xdr:twoCellAnchor>
  <xdr:twoCellAnchor>
    <xdr:from>
      <xdr:col>6</xdr:col>
      <xdr:colOff>47625</xdr:colOff>
      <xdr:row>78</xdr:row>
      <xdr:rowOff>47625</xdr:rowOff>
    </xdr:from>
    <xdr:to>
      <xdr:col>6</xdr:col>
      <xdr:colOff>504825</xdr:colOff>
      <xdr:row>79</xdr:row>
      <xdr:rowOff>76200</xdr:rowOff>
    </xdr:to>
    <xdr:sp macro="" textlink="">
      <xdr:nvSpPr>
        <xdr:cNvPr id="20533" name="Text Box 53">
          <a:extLst>
            <a:ext uri="{FF2B5EF4-FFF2-40B4-BE49-F238E27FC236}">
              <a16:creationId xmlns:a16="http://schemas.microsoft.com/office/drawing/2014/main" id="{00000000-0008-0000-0200-000035500000}"/>
            </a:ext>
          </a:extLst>
        </xdr:cNvPr>
        <xdr:cNvSpPr txBox="1">
          <a:spLocks noChangeArrowheads="1"/>
        </xdr:cNvSpPr>
      </xdr:nvSpPr>
      <xdr:spPr bwMode="auto">
        <a:xfrm>
          <a:off x="2981325" y="13896975"/>
          <a:ext cx="4572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27,2</a:t>
          </a:r>
        </a:p>
      </xdr:txBody>
    </xdr:sp>
    <xdr:clientData/>
  </xdr:twoCellAnchor>
  <xdr:twoCellAnchor>
    <xdr:from>
      <xdr:col>6</xdr:col>
      <xdr:colOff>47625</xdr:colOff>
      <xdr:row>79</xdr:row>
      <xdr:rowOff>104775</xdr:rowOff>
    </xdr:from>
    <xdr:to>
      <xdr:col>6</xdr:col>
      <xdr:colOff>504825</xdr:colOff>
      <xdr:row>80</xdr:row>
      <xdr:rowOff>133350</xdr:rowOff>
    </xdr:to>
    <xdr:sp macro="" textlink="">
      <xdr:nvSpPr>
        <xdr:cNvPr id="20534" name="Text Box 54">
          <a:extLst>
            <a:ext uri="{FF2B5EF4-FFF2-40B4-BE49-F238E27FC236}">
              <a16:creationId xmlns:a16="http://schemas.microsoft.com/office/drawing/2014/main" id="{00000000-0008-0000-0200-000036500000}"/>
            </a:ext>
          </a:extLst>
        </xdr:cNvPr>
        <xdr:cNvSpPr txBox="1">
          <a:spLocks noChangeArrowheads="1"/>
        </xdr:cNvSpPr>
      </xdr:nvSpPr>
      <xdr:spPr bwMode="auto">
        <a:xfrm>
          <a:off x="2981325" y="14116050"/>
          <a:ext cx="4572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34,2</a:t>
          </a:r>
        </a:p>
      </xdr:txBody>
    </xdr:sp>
    <xdr:clientData/>
  </xdr:twoCellAnchor>
  <xdr:twoCellAnchor>
    <xdr:from>
      <xdr:col>6</xdr:col>
      <xdr:colOff>47625</xdr:colOff>
      <xdr:row>80</xdr:row>
      <xdr:rowOff>152400</xdr:rowOff>
    </xdr:from>
    <xdr:to>
      <xdr:col>6</xdr:col>
      <xdr:colOff>504825</xdr:colOff>
      <xdr:row>82</xdr:row>
      <xdr:rowOff>19050</xdr:rowOff>
    </xdr:to>
    <xdr:sp macro="" textlink="">
      <xdr:nvSpPr>
        <xdr:cNvPr id="20535" name="Text Box 55">
          <a:extLst>
            <a:ext uri="{FF2B5EF4-FFF2-40B4-BE49-F238E27FC236}">
              <a16:creationId xmlns:a16="http://schemas.microsoft.com/office/drawing/2014/main" id="{00000000-0008-0000-0200-000037500000}"/>
            </a:ext>
          </a:extLst>
        </xdr:cNvPr>
        <xdr:cNvSpPr txBox="1">
          <a:spLocks noChangeArrowheads="1"/>
        </xdr:cNvSpPr>
      </xdr:nvSpPr>
      <xdr:spPr bwMode="auto">
        <a:xfrm>
          <a:off x="2981325" y="14325600"/>
          <a:ext cx="4572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42,9</a:t>
          </a:r>
        </a:p>
      </xdr:txBody>
    </xdr:sp>
    <xdr:clientData/>
  </xdr:twoCellAnchor>
  <xdr:twoCellAnchor>
    <xdr:from>
      <xdr:col>6</xdr:col>
      <xdr:colOff>47625</xdr:colOff>
      <xdr:row>82</xdr:row>
      <xdr:rowOff>38100</xdr:rowOff>
    </xdr:from>
    <xdr:to>
      <xdr:col>6</xdr:col>
      <xdr:colOff>504825</xdr:colOff>
      <xdr:row>83</xdr:row>
      <xdr:rowOff>76200</xdr:rowOff>
    </xdr:to>
    <xdr:sp macro="" textlink="">
      <xdr:nvSpPr>
        <xdr:cNvPr id="20536" name="Text Box 56">
          <a:extLst>
            <a:ext uri="{FF2B5EF4-FFF2-40B4-BE49-F238E27FC236}">
              <a16:creationId xmlns:a16="http://schemas.microsoft.com/office/drawing/2014/main" id="{00000000-0008-0000-0200-000038500000}"/>
            </a:ext>
          </a:extLst>
        </xdr:cNvPr>
        <xdr:cNvSpPr txBox="1">
          <a:spLocks noChangeArrowheads="1"/>
        </xdr:cNvSpPr>
      </xdr:nvSpPr>
      <xdr:spPr bwMode="auto">
        <a:xfrm>
          <a:off x="2981325" y="14535150"/>
          <a:ext cx="457200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48,8</a:t>
          </a:r>
        </a:p>
      </xdr:txBody>
    </xdr:sp>
    <xdr:clientData/>
  </xdr:twoCellAnchor>
  <xdr:twoCellAnchor>
    <xdr:from>
      <xdr:col>6</xdr:col>
      <xdr:colOff>47625</xdr:colOff>
      <xdr:row>83</xdr:row>
      <xdr:rowOff>95250</xdr:rowOff>
    </xdr:from>
    <xdr:to>
      <xdr:col>6</xdr:col>
      <xdr:colOff>504825</xdr:colOff>
      <xdr:row>84</xdr:row>
      <xdr:rowOff>123825</xdr:rowOff>
    </xdr:to>
    <xdr:sp macro="" textlink="">
      <xdr:nvSpPr>
        <xdr:cNvPr id="20537" name="Text Box 57">
          <a:extLst>
            <a:ext uri="{FF2B5EF4-FFF2-40B4-BE49-F238E27FC236}">
              <a16:creationId xmlns:a16="http://schemas.microsoft.com/office/drawing/2014/main" id="{00000000-0008-0000-0200-000039500000}"/>
            </a:ext>
          </a:extLst>
        </xdr:cNvPr>
        <xdr:cNvSpPr txBox="1">
          <a:spLocks noChangeArrowheads="1"/>
        </xdr:cNvSpPr>
      </xdr:nvSpPr>
      <xdr:spPr bwMode="auto">
        <a:xfrm>
          <a:off x="2981325" y="14754225"/>
          <a:ext cx="457200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60,8</a:t>
          </a:r>
        </a:p>
      </xdr:txBody>
    </xdr:sp>
    <xdr:clientData/>
  </xdr:twoCellAnchor>
  <xdr:twoCellAnchor>
    <xdr:from>
      <xdr:col>6</xdr:col>
      <xdr:colOff>47625</xdr:colOff>
      <xdr:row>75</xdr:row>
      <xdr:rowOff>85725</xdr:rowOff>
    </xdr:from>
    <xdr:to>
      <xdr:col>6</xdr:col>
      <xdr:colOff>504825</xdr:colOff>
      <xdr:row>76</xdr:row>
      <xdr:rowOff>142875</xdr:rowOff>
    </xdr:to>
    <xdr:sp macro="" textlink="">
      <xdr:nvSpPr>
        <xdr:cNvPr id="20538" name="Text Box 58">
          <a:extLst>
            <a:ext uri="{FF2B5EF4-FFF2-40B4-BE49-F238E27FC236}">
              <a16:creationId xmlns:a16="http://schemas.microsoft.com/office/drawing/2014/main" id="{00000000-0008-0000-0200-00003A500000}"/>
            </a:ext>
          </a:extLst>
        </xdr:cNvPr>
        <xdr:cNvSpPr txBox="1">
          <a:spLocks noChangeArrowheads="1"/>
        </xdr:cNvSpPr>
      </xdr:nvSpPr>
      <xdr:spPr bwMode="auto">
        <a:xfrm>
          <a:off x="2981325" y="13449300"/>
          <a:ext cx="457200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Máx.</a:t>
          </a:r>
        </a:p>
      </xdr:txBody>
    </xdr:sp>
    <xdr:clientData/>
  </xdr:twoCellAnchor>
  <xdr:twoCellAnchor>
    <xdr:from>
      <xdr:col>6</xdr:col>
      <xdr:colOff>523875</xdr:colOff>
      <xdr:row>77</xdr:row>
      <xdr:rowOff>0</xdr:rowOff>
    </xdr:from>
    <xdr:to>
      <xdr:col>7</xdr:col>
      <xdr:colOff>209550</xdr:colOff>
      <xdr:row>78</xdr:row>
      <xdr:rowOff>28575</xdr:rowOff>
    </xdr:to>
    <xdr:sp macro="" textlink="">
      <xdr:nvSpPr>
        <xdr:cNvPr id="20539" name="Text Box 59">
          <a:extLst>
            <a:ext uri="{FF2B5EF4-FFF2-40B4-BE49-F238E27FC236}">
              <a16:creationId xmlns:a16="http://schemas.microsoft.com/office/drawing/2014/main" id="{00000000-0008-0000-0200-00003B500000}"/>
            </a:ext>
          </a:extLst>
        </xdr:cNvPr>
        <xdr:cNvSpPr txBox="1">
          <a:spLocks noChangeArrowheads="1"/>
        </xdr:cNvSpPr>
      </xdr:nvSpPr>
      <xdr:spPr bwMode="auto">
        <a:xfrm>
          <a:off x="3457575" y="13687425"/>
          <a:ext cx="4476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21,1</a:t>
          </a:r>
        </a:p>
      </xdr:txBody>
    </xdr:sp>
    <xdr:clientData/>
  </xdr:twoCellAnchor>
  <xdr:twoCellAnchor>
    <xdr:from>
      <xdr:col>6</xdr:col>
      <xdr:colOff>523875</xdr:colOff>
      <xdr:row>78</xdr:row>
      <xdr:rowOff>47625</xdr:rowOff>
    </xdr:from>
    <xdr:to>
      <xdr:col>7</xdr:col>
      <xdr:colOff>209550</xdr:colOff>
      <xdr:row>79</xdr:row>
      <xdr:rowOff>76200</xdr:rowOff>
    </xdr:to>
    <xdr:sp macro="" textlink="">
      <xdr:nvSpPr>
        <xdr:cNvPr id="20540" name="Text Box 60">
          <a:extLst>
            <a:ext uri="{FF2B5EF4-FFF2-40B4-BE49-F238E27FC236}">
              <a16:creationId xmlns:a16="http://schemas.microsoft.com/office/drawing/2014/main" id="{00000000-0008-0000-0200-00003C500000}"/>
            </a:ext>
          </a:extLst>
        </xdr:cNvPr>
        <xdr:cNvSpPr txBox="1">
          <a:spLocks noChangeArrowheads="1"/>
        </xdr:cNvSpPr>
      </xdr:nvSpPr>
      <xdr:spPr bwMode="auto">
        <a:xfrm>
          <a:off x="3457575" y="13896975"/>
          <a:ext cx="4476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26,6</a:t>
          </a:r>
        </a:p>
      </xdr:txBody>
    </xdr:sp>
    <xdr:clientData/>
  </xdr:twoCellAnchor>
  <xdr:twoCellAnchor>
    <xdr:from>
      <xdr:col>6</xdr:col>
      <xdr:colOff>523875</xdr:colOff>
      <xdr:row>79</xdr:row>
      <xdr:rowOff>104775</xdr:rowOff>
    </xdr:from>
    <xdr:to>
      <xdr:col>7</xdr:col>
      <xdr:colOff>209550</xdr:colOff>
      <xdr:row>80</xdr:row>
      <xdr:rowOff>133350</xdr:rowOff>
    </xdr:to>
    <xdr:sp macro="" textlink="">
      <xdr:nvSpPr>
        <xdr:cNvPr id="20541" name="Text Box 61">
          <a:extLst>
            <a:ext uri="{FF2B5EF4-FFF2-40B4-BE49-F238E27FC236}">
              <a16:creationId xmlns:a16="http://schemas.microsoft.com/office/drawing/2014/main" id="{00000000-0008-0000-0200-00003D500000}"/>
            </a:ext>
          </a:extLst>
        </xdr:cNvPr>
        <xdr:cNvSpPr txBox="1">
          <a:spLocks noChangeArrowheads="1"/>
        </xdr:cNvSpPr>
      </xdr:nvSpPr>
      <xdr:spPr bwMode="auto">
        <a:xfrm>
          <a:off x="3457575" y="14116050"/>
          <a:ext cx="4476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33,4</a:t>
          </a:r>
        </a:p>
      </xdr:txBody>
    </xdr:sp>
    <xdr:clientData/>
  </xdr:twoCellAnchor>
  <xdr:twoCellAnchor>
    <xdr:from>
      <xdr:col>6</xdr:col>
      <xdr:colOff>523875</xdr:colOff>
      <xdr:row>80</xdr:row>
      <xdr:rowOff>152400</xdr:rowOff>
    </xdr:from>
    <xdr:to>
      <xdr:col>7</xdr:col>
      <xdr:colOff>209550</xdr:colOff>
      <xdr:row>82</xdr:row>
      <xdr:rowOff>19050</xdr:rowOff>
    </xdr:to>
    <xdr:sp macro="" textlink="">
      <xdr:nvSpPr>
        <xdr:cNvPr id="20542" name="Text Box 62">
          <a:extLst>
            <a:ext uri="{FF2B5EF4-FFF2-40B4-BE49-F238E27FC236}">
              <a16:creationId xmlns:a16="http://schemas.microsoft.com/office/drawing/2014/main" id="{00000000-0008-0000-0200-00003E500000}"/>
            </a:ext>
          </a:extLst>
        </xdr:cNvPr>
        <xdr:cNvSpPr txBox="1">
          <a:spLocks noChangeArrowheads="1"/>
        </xdr:cNvSpPr>
      </xdr:nvSpPr>
      <xdr:spPr bwMode="auto">
        <a:xfrm>
          <a:off x="3457575" y="14325600"/>
          <a:ext cx="4476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42,1</a:t>
          </a:r>
        </a:p>
      </xdr:txBody>
    </xdr:sp>
    <xdr:clientData/>
  </xdr:twoCellAnchor>
  <xdr:twoCellAnchor>
    <xdr:from>
      <xdr:col>6</xdr:col>
      <xdr:colOff>523875</xdr:colOff>
      <xdr:row>82</xdr:row>
      <xdr:rowOff>38100</xdr:rowOff>
    </xdr:from>
    <xdr:to>
      <xdr:col>7</xdr:col>
      <xdr:colOff>209550</xdr:colOff>
      <xdr:row>83</xdr:row>
      <xdr:rowOff>76200</xdr:rowOff>
    </xdr:to>
    <xdr:sp macro="" textlink="">
      <xdr:nvSpPr>
        <xdr:cNvPr id="20543" name="Text Box 63">
          <a:extLst>
            <a:ext uri="{FF2B5EF4-FFF2-40B4-BE49-F238E27FC236}">
              <a16:creationId xmlns:a16="http://schemas.microsoft.com/office/drawing/2014/main" id="{00000000-0008-0000-0200-00003F500000}"/>
            </a:ext>
          </a:extLst>
        </xdr:cNvPr>
        <xdr:cNvSpPr txBox="1">
          <a:spLocks noChangeArrowheads="1"/>
        </xdr:cNvSpPr>
      </xdr:nvSpPr>
      <xdr:spPr bwMode="auto">
        <a:xfrm>
          <a:off x="3457575" y="14535150"/>
          <a:ext cx="447675" cy="20002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48,0</a:t>
          </a:r>
        </a:p>
      </xdr:txBody>
    </xdr:sp>
    <xdr:clientData/>
  </xdr:twoCellAnchor>
  <xdr:twoCellAnchor>
    <xdr:from>
      <xdr:col>6</xdr:col>
      <xdr:colOff>523875</xdr:colOff>
      <xdr:row>83</xdr:row>
      <xdr:rowOff>95250</xdr:rowOff>
    </xdr:from>
    <xdr:to>
      <xdr:col>7</xdr:col>
      <xdr:colOff>209550</xdr:colOff>
      <xdr:row>84</xdr:row>
      <xdr:rowOff>123825</xdr:rowOff>
    </xdr:to>
    <xdr:sp macro="" textlink="">
      <xdr:nvSpPr>
        <xdr:cNvPr id="20544" name="Text Box 64">
          <a:extLst>
            <a:ext uri="{FF2B5EF4-FFF2-40B4-BE49-F238E27FC236}">
              <a16:creationId xmlns:a16="http://schemas.microsoft.com/office/drawing/2014/main" id="{00000000-0008-0000-0200-000040500000}"/>
            </a:ext>
          </a:extLst>
        </xdr:cNvPr>
        <xdr:cNvSpPr txBox="1">
          <a:spLocks noChangeArrowheads="1"/>
        </xdr:cNvSpPr>
      </xdr:nvSpPr>
      <xdr:spPr bwMode="auto">
        <a:xfrm>
          <a:off x="3457575" y="14754225"/>
          <a:ext cx="447675" cy="190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59,8</a:t>
          </a:r>
        </a:p>
      </xdr:txBody>
    </xdr:sp>
    <xdr:clientData/>
  </xdr:twoCellAnchor>
  <xdr:twoCellAnchor>
    <xdr:from>
      <xdr:col>6</xdr:col>
      <xdr:colOff>523875</xdr:colOff>
      <xdr:row>75</xdr:row>
      <xdr:rowOff>85725</xdr:rowOff>
    </xdr:from>
    <xdr:to>
      <xdr:col>7</xdr:col>
      <xdr:colOff>209550</xdr:colOff>
      <xdr:row>76</xdr:row>
      <xdr:rowOff>142875</xdr:rowOff>
    </xdr:to>
    <xdr:sp macro="" textlink="">
      <xdr:nvSpPr>
        <xdr:cNvPr id="20545" name="Text Box 65">
          <a:extLst>
            <a:ext uri="{FF2B5EF4-FFF2-40B4-BE49-F238E27FC236}">
              <a16:creationId xmlns:a16="http://schemas.microsoft.com/office/drawing/2014/main" id="{00000000-0008-0000-0200-000041500000}"/>
            </a:ext>
          </a:extLst>
        </xdr:cNvPr>
        <xdr:cNvSpPr txBox="1">
          <a:spLocks noChangeArrowheads="1"/>
        </xdr:cNvSpPr>
      </xdr:nvSpPr>
      <xdr:spPr bwMode="auto">
        <a:xfrm>
          <a:off x="3457575" y="13449300"/>
          <a:ext cx="447675" cy="219075"/>
        </a:xfrm>
        <a:prstGeom prst="rect">
          <a:avLst/>
        </a:prstGeom>
        <a:solidFill>
          <a:schemeClr val="accent6">
            <a:lumMod val="50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Mín.</a:t>
          </a:r>
        </a:p>
      </xdr:txBody>
    </xdr:sp>
    <xdr:clientData/>
  </xdr:twoCellAnchor>
  <xdr:twoCellAnchor>
    <xdr:from>
      <xdr:col>5</xdr:col>
      <xdr:colOff>400050</xdr:colOff>
      <xdr:row>73</xdr:row>
      <xdr:rowOff>0</xdr:rowOff>
    </xdr:from>
    <xdr:to>
      <xdr:col>7</xdr:col>
      <xdr:colOff>209550</xdr:colOff>
      <xdr:row>75</xdr:row>
      <xdr:rowOff>76200</xdr:rowOff>
    </xdr:to>
    <xdr:sp macro="" textlink="">
      <xdr:nvSpPr>
        <xdr:cNvPr id="20546" name="Text Box 66">
          <a:extLst>
            <a:ext uri="{FF2B5EF4-FFF2-40B4-BE49-F238E27FC236}">
              <a16:creationId xmlns:a16="http://schemas.microsoft.com/office/drawing/2014/main" id="{00000000-0008-0000-0200-000042500000}"/>
            </a:ext>
          </a:extLst>
        </xdr:cNvPr>
        <xdr:cNvSpPr txBox="1">
          <a:spLocks noChangeArrowheads="1"/>
        </xdr:cNvSpPr>
      </xdr:nvSpPr>
      <xdr:spPr bwMode="auto">
        <a:xfrm>
          <a:off x="2419350" y="13039725"/>
          <a:ext cx="1485900" cy="400050"/>
        </a:xfrm>
        <a:prstGeom prst="rect">
          <a:avLst/>
        </a:prstGeom>
        <a:solidFill>
          <a:schemeClr val="accent6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Diâmetro Exterior </a:t>
          </a:r>
        </a:p>
        <a:p>
          <a:pPr algn="ctr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 (mm)</a:t>
          </a:r>
        </a:p>
      </xdr:txBody>
    </xdr:sp>
    <xdr:clientData/>
  </xdr:twoCellAnchor>
  <xdr:twoCellAnchor>
    <xdr:from>
      <xdr:col>6</xdr:col>
      <xdr:colOff>9525</xdr:colOff>
      <xdr:row>3</xdr:row>
      <xdr:rowOff>38100</xdr:rowOff>
    </xdr:from>
    <xdr:to>
      <xdr:col>6</xdr:col>
      <xdr:colOff>752475</xdr:colOff>
      <xdr:row>17</xdr:row>
      <xdr:rowOff>200025</xdr:rowOff>
    </xdr:to>
    <xdr:grpSp>
      <xdr:nvGrpSpPr>
        <xdr:cNvPr id="118429" name="Group 264">
          <a:extLst>
            <a:ext uri="{FF2B5EF4-FFF2-40B4-BE49-F238E27FC236}">
              <a16:creationId xmlns:a16="http://schemas.microsoft.com/office/drawing/2014/main" id="{00000000-0008-0000-0200-00009DCE0100}"/>
            </a:ext>
          </a:extLst>
        </xdr:cNvPr>
        <xdr:cNvGrpSpPr>
          <a:grpSpLocks/>
        </xdr:cNvGrpSpPr>
      </xdr:nvGrpSpPr>
      <xdr:grpSpPr bwMode="auto">
        <a:xfrm>
          <a:off x="3003097" y="651658"/>
          <a:ext cx="721179" cy="2843770"/>
          <a:chOff x="309" y="66"/>
          <a:chExt cx="78" cy="300"/>
        </a:xfrm>
      </xdr:grpSpPr>
      <xdr:sp macro="" textlink="">
        <xdr:nvSpPr>
          <xdr:cNvPr id="20560" name="Text Box 80">
            <a:extLst>
              <a:ext uri="{FF2B5EF4-FFF2-40B4-BE49-F238E27FC236}">
                <a16:creationId xmlns:a16="http://schemas.microsoft.com/office/drawing/2014/main" id="{00000000-0008-0000-0200-000050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9" y="66"/>
            <a:ext cx="78" cy="84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54000" tIns="54000" rIns="54000" bIns="54000" anchor="ctr" upright="1"/>
          <a:lstStyle/>
          <a:p>
            <a:pPr algn="ctr" rtl="0">
              <a:defRPr sz="1000"/>
            </a:pPr>
            <a:r>
              <a:rPr lang="pt-PT" sz="1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Potência Nominal / Consumo (kW)</a:t>
            </a:r>
          </a:p>
        </xdr:txBody>
      </xdr:sp>
      <xdr:grpSp>
        <xdr:nvGrpSpPr>
          <xdr:cNvPr id="118515" name="Group 233">
            <a:extLst>
              <a:ext uri="{FF2B5EF4-FFF2-40B4-BE49-F238E27FC236}">
                <a16:creationId xmlns:a16="http://schemas.microsoft.com/office/drawing/2014/main" id="{00000000-0008-0000-0200-0000F3CE0100}"/>
              </a:ext>
            </a:extLst>
          </xdr:cNvPr>
          <xdr:cNvGrpSpPr>
            <a:grpSpLocks/>
          </xdr:cNvGrpSpPr>
        </xdr:nvGrpSpPr>
        <xdr:grpSpPr bwMode="auto">
          <a:xfrm>
            <a:off x="309" y="151"/>
            <a:ext cx="78" cy="215"/>
            <a:chOff x="237" y="155"/>
            <a:chExt cx="137" cy="218"/>
          </a:xfrm>
        </xdr:grpSpPr>
        <xdr:sp macro="" textlink="">
          <xdr:nvSpPr>
            <xdr:cNvPr id="20561" name="Text Box 81">
              <a:extLst>
                <a:ext uri="{FF2B5EF4-FFF2-40B4-BE49-F238E27FC236}">
                  <a16:creationId xmlns:a16="http://schemas.microsoft.com/office/drawing/2014/main" id="{00000000-0008-0000-0200-000051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155"/>
              <a:ext cx="137" cy="21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10,50</a:t>
              </a:r>
            </a:p>
          </xdr:txBody>
        </xdr:sp>
        <xdr:sp macro="" textlink="">
          <xdr:nvSpPr>
            <xdr:cNvPr id="20566" name="Text Box 86">
              <a:extLst>
                <a:ext uri="{FF2B5EF4-FFF2-40B4-BE49-F238E27FC236}">
                  <a16:creationId xmlns:a16="http://schemas.microsoft.com/office/drawing/2014/main" id="{00000000-0008-0000-0200-000056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177"/>
              <a:ext cx="137" cy="21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6,00</a:t>
              </a:r>
            </a:p>
          </xdr:txBody>
        </xdr:sp>
        <xdr:sp macro="" textlink="">
          <xdr:nvSpPr>
            <xdr:cNvPr id="20569" name="Text Box 89">
              <a:extLst>
                <a:ext uri="{FF2B5EF4-FFF2-40B4-BE49-F238E27FC236}">
                  <a16:creationId xmlns:a16="http://schemas.microsoft.com/office/drawing/2014/main" id="{00000000-0008-0000-0200-000059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199"/>
              <a:ext cx="137" cy="2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23,00</a:t>
              </a:r>
            </a:p>
          </xdr:txBody>
        </xdr:sp>
        <xdr:sp macro="" textlink="">
          <xdr:nvSpPr>
            <xdr:cNvPr id="20572" name="Text Box 92">
              <a:extLst>
                <a:ext uri="{FF2B5EF4-FFF2-40B4-BE49-F238E27FC236}">
                  <a16:creationId xmlns:a16="http://schemas.microsoft.com/office/drawing/2014/main" id="{00000000-0008-0000-0200-00005C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220"/>
              <a:ext cx="137" cy="22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29,00</a:t>
              </a:r>
            </a:p>
          </xdr:txBody>
        </xdr:sp>
        <xdr:sp macro="" textlink="">
          <xdr:nvSpPr>
            <xdr:cNvPr id="20575" name="Text Box 95">
              <a:extLst>
                <a:ext uri="{FF2B5EF4-FFF2-40B4-BE49-F238E27FC236}">
                  <a16:creationId xmlns:a16="http://schemas.microsoft.com/office/drawing/2014/main" id="{00000000-0008-0000-0200-00005F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243"/>
              <a:ext cx="137" cy="2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29,00</a:t>
              </a:r>
            </a:p>
          </xdr:txBody>
        </xdr:sp>
        <xdr:sp macro="" textlink="">
          <xdr:nvSpPr>
            <xdr:cNvPr id="20578" name="Text Box 98">
              <a:extLst>
                <a:ext uri="{FF2B5EF4-FFF2-40B4-BE49-F238E27FC236}">
                  <a16:creationId xmlns:a16="http://schemas.microsoft.com/office/drawing/2014/main" id="{00000000-0008-0000-0200-000062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265"/>
              <a:ext cx="137" cy="21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35,00</a:t>
              </a:r>
            </a:p>
          </xdr:txBody>
        </xdr:sp>
        <xdr:sp macro="" textlink="">
          <xdr:nvSpPr>
            <xdr:cNvPr id="20581" name="Text Box 101">
              <a:extLst>
                <a:ext uri="{FF2B5EF4-FFF2-40B4-BE49-F238E27FC236}">
                  <a16:creationId xmlns:a16="http://schemas.microsoft.com/office/drawing/2014/main" id="{00000000-0008-0000-0200-000065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287"/>
              <a:ext cx="137" cy="2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6,00</a:t>
              </a:r>
            </a:p>
          </xdr:txBody>
        </xdr:sp>
        <xdr:sp macro="" textlink="">
          <xdr:nvSpPr>
            <xdr:cNvPr id="20585" name="Text Box 105">
              <a:extLst>
                <a:ext uri="{FF2B5EF4-FFF2-40B4-BE49-F238E27FC236}">
                  <a16:creationId xmlns:a16="http://schemas.microsoft.com/office/drawing/2014/main" id="{00000000-0008-0000-0200-000069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308"/>
              <a:ext cx="137" cy="21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9,00</a:t>
              </a:r>
            </a:p>
          </xdr:txBody>
        </xdr:sp>
        <xdr:sp macro="" textlink="">
          <xdr:nvSpPr>
            <xdr:cNvPr id="20588" name="Text Box 108">
              <a:extLst>
                <a:ext uri="{FF2B5EF4-FFF2-40B4-BE49-F238E27FC236}">
                  <a16:creationId xmlns:a16="http://schemas.microsoft.com/office/drawing/2014/main" id="{00000000-0008-0000-0200-00006C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330"/>
              <a:ext cx="137" cy="21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4,00</a:t>
              </a:r>
            </a:p>
          </xdr:txBody>
        </xdr:sp>
        <xdr:sp macro="" textlink="">
          <xdr:nvSpPr>
            <xdr:cNvPr id="20591" name="Text Box 111">
              <a:extLst>
                <a:ext uri="{FF2B5EF4-FFF2-40B4-BE49-F238E27FC236}">
                  <a16:creationId xmlns:a16="http://schemas.microsoft.com/office/drawing/2014/main" id="{00000000-0008-0000-0200-00006F5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37" y="353"/>
              <a:ext cx="137" cy="2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18000" tIns="18000" rIns="18000" bIns="18000" anchor="ctr" upright="1"/>
            <a:lstStyle/>
            <a:p>
              <a:pPr algn="ctr" rtl="0">
                <a:defRPr sz="1000"/>
              </a:pPr>
              <a:r>
                <a:rPr lang="pt-P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5,00</a:t>
              </a:r>
            </a:p>
          </xdr:txBody>
        </xdr:sp>
      </xdr:grpSp>
    </xdr:grpSp>
    <xdr:clientData/>
  </xdr:twoCellAnchor>
  <xdr:twoCellAnchor>
    <xdr:from>
      <xdr:col>3</xdr:col>
      <xdr:colOff>0</xdr:colOff>
      <xdr:row>3</xdr:row>
      <xdr:rowOff>22208</xdr:rowOff>
    </xdr:from>
    <xdr:to>
      <xdr:col>5</xdr:col>
      <xdr:colOff>895350</xdr:colOff>
      <xdr:row>17</xdr:row>
      <xdr:rowOff>184133</xdr:rowOff>
    </xdr:to>
    <xdr:grpSp>
      <xdr:nvGrpSpPr>
        <xdr:cNvPr id="118430" name="Group 263">
          <a:extLst>
            <a:ext uri="{FF2B5EF4-FFF2-40B4-BE49-F238E27FC236}">
              <a16:creationId xmlns:a16="http://schemas.microsoft.com/office/drawing/2014/main" id="{00000000-0008-0000-0200-00009ECE0100}"/>
            </a:ext>
          </a:extLst>
        </xdr:cNvPr>
        <xdr:cNvGrpSpPr>
          <a:grpSpLocks/>
        </xdr:cNvGrpSpPr>
      </xdr:nvGrpSpPr>
      <xdr:grpSpPr bwMode="auto">
        <a:xfrm>
          <a:off x="465117" y="635766"/>
          <a:ext cx="2453987" cy="2843770"/>
          <a:chOff x="58" y="66"/>
          <a:chExt cx="248" cy="300"/>
        </a:xfrm>
      </xdr:grpSpPr>
      <xdr:sp macro="" textlink="">
        <xdr:nvSpPr>
          <xdr:cNvPr id="20559" name="Text Box 79">
            <a:extLst>
              <a:ext uri="{FF2B5EF4-FFF2-40B4-BE49-F238E27FC236}">
                <a16:creationId xmlns:a16="http://schemas.microsoft.com/office/drawing/2014/main" id="{00000000-0008-0000-0200-00004F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66"/>
            <a:ext cx="248" cy="84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54000" tIns="54000" rIns="54000" bIns="54000" anchor="ctr" upright="1"/>
          <a:lstStyle/>
          <a:p>
            <a:pPr algn="ctr" rtl="0">
              <a:defRPr sz="1000"/>
            </a:pPr>
            <a:r>
              <a:rPr lang="pt-PT" sz="13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Descrição do Aparelho</a:t>
            </a:r>
          </a:p>
        </xdr:txBody>
      </xdr:sp>
      <xdr:sp macro="" textlink="">
        <xdr:nvSpPr>
          <xdr:cNvPr id="20562" name="Text Box 82">
            <a:extLst>
              <a:ext uri="{FF2B5EF4-FFF2-40B4-BE49-F238E27FC236}">
                <a16:creationId xmlns:a16="http://schemas.microsoft.com/office/drawing/2014/main" id="{00000000-0008-0000-0200-000052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151"/>
            <a:ext cx="248" cy="21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Fogão com Forno</a:t>
            </a:r>
          </a:p>
        </xdr:txBody>
      </xdr:sp>
      <xdr:sp macro="" textlink="">
        <xdr:nvSpPr>
          <xdr:cNvPr id="20567" name="Text Box 87">
            <a:extLst>
              <a:ext uri="{FF2B5EF4-FFF2-40B4-BE49-F238E27FC236}">
                <a16:creationId xmlns:a16="http://schemas.microsoft.com/office/drawing/2014/main" id="{00000000-0008-0000-0200-000057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173"/>
            <a:ext cx="248" cy="21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Placa de Encastrar</a:t>
            </a:r>
          </a:p>
        </xdr:txBody>
      </xdr:sp>
      <xdr:sp macro="" textlink="">
        <xdr:nvSpPr>
          <xdr:cNvPr id="20570" name="Text Box 90">
            <a:extLst>
              <a:ext uri="{FF2B5EF4-FFF2-40B4-BE49-F238E27FC236}">
                <a16:creationId xmlns:a16="http://schemas.microsoft.com/office/drawing/2014/main" id="{00000000-0008-0000-0200-00005A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195"/>
            <a:ext cx="248" cy="19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Esquentador 10 ou 11 l</a:t>
            </a:r>
          </a:p>
        </xdr:txBody>
      </xdr:sp>
      <xdr:sp macro="" textlink="">
        <xdr:nvSpPr>
          <xdr:cNvPr id="20573" name="Text Box 93">
            <a:extLst>
              <a:ext uri="{FF2B5EF4-FFF2-40B4-BE49-F238E27FC236}">
                <a16:creationId xmlns:a16="http://schemas.microsoft.com/office/drawing/2014/main" id="{00000000-0008-0000-0200-00005D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215"/>
            <a:ext cx="248" cy="22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Esquentador 13 ou 14 l</a:t>
            </a:r>
          </a:p>
        </xdr:txBody>
      </xdr:sp>
      <xdr:sp macro="" textlink="">
        <xdr:nvSpPr>
          <xdr:cNvPr id="20576" name="Text Box 96">
            <a:extLst>
              <a:ext uri="{FF2B5EF4-FFF2-40B4-BE49-F238E27FC236}">
                <a16:creationId xmlns:a16="http://schemas.microsoft.com/office/drawing/2014/main" id="{00000000-0008-0000-0200-000060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238"/>
            <a:ext cx="248" cy="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Caldeira Mural 20.000 kcal/h</a:t>
            </a:r>
          </a:p>
        </xdr:txBody>
      </xdr:sp>
      <xdr:sp macro="" textlink="">
        <xdr:nvSpPr>
          <xdr:cNvPr id="20579" name="Text Box 99">
            <a:extLst>
              <a:ext uri="{FF2B5EF4-FFF2-40B4-BE49-F238E27FC236}">
                <a16:creationId xmlns:a16="http://schemas.microsoft.com/office/drawing/2014/main" id="{00000000-0008-0000-0200-000063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259"/>
            <a:ext cx="248" cy="21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Caldeira Mural 24.000 kcal/h</a:t>
            </a:r>
          </a:p>
        </xdr:txBody>
      </xdr:sp>
      <xdr:sp macro="" textlink="">
        <xdr:nvSpPr>
          <xdr:cNvPr id="20582" name="Text Box 102">
            <a:extLst>
              <a:ext uri="{FF2B5EF4-FFF2-40B4-BE49-F238E27FC236}">
                <a16:creationId xmlns:a16="http://schemas.microsoft.com/office/drawing/2014/main" id="{00000000-0008-0000-0200-000066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281"/>
            <a:ext cx="248" cy="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Forno Independente</a:t>
            </a:r>
          </a:p>
        </xdr:txBody>
      </xdr:sp>
      <xdr:sp macro="" textlink="">
        <xdr:nvSpPr>
          <xdr:cNvPr id="20586" name="Text Box 106">
            <a:extLst>
              <a:ext uri="{FF2B5EF4-FFF2-40B4-BE49-F238E27FC236}">
                <a16:creationId xmlns:a16="http://schemas.microsoft.com/office/drawing/2014/main" id="{00000000-0008-0000-0200-00006A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302"/>
            <a:ext cx="248" cy="21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Lareira a Gás</a:t>
            </a:r>
          </a:p>
        </xdr:txBody>
      </xdr:sp>
      <xdr:sp macro="" textlink="">
        <xdr:nvSpPr>
          <xdr:cNvPr id="20589" name="Text Box 109">
            <a:extLst>
              <a:ext uri="{FF2B5EF4-FFF2-40B4-BE49-F238E27FC236}">
                <a16:creationId xmlns:a16="http://schemas.microsoft.com/office/drawing/2014/main" id="{00000000-0008-0000-0200-00006D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324"/>
            <a:ext cx="248" cy="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Termoconvector a Gás</a:t>
            </a:r>
          </a:p>
        </xdr:txBody>
      </xdr:sp>
      <xdr:sp macro="" textlink="">
        <xdr:nvSpPr>
          <xdr:cNvPr id="20592" name="Text Box 112">
            <a:extLst>
              <a:ext uri="{FF2B5EF4-FFF2-40B4-BE49-F238E27FC236}">
                <a16:creationId xmlns:a16="http://schemas.microsoft.com/office/drawing/2014/main" id="{00000000-0008-0000-0200-0000705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" y="346"/>
            <a:ext cx="248" cy="20"/>
          </a:xfrm>
          <a:prstGeom prst="rect">
            <a:avLst/>
          </a:prstGeom>
          <a:solidFill>
            <a:schemeClr val="bg1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Secador de Roupa a Gás</a:t>
            </a:r>
          </a:p>
        </xdr:txBody>
      </xdr:sp>
    </xdr:grpSp>
    <xdr:clientData/>
  </xdr:twoCellAnchor>
  <xdr:twoCellAnchor>
    <xdr:from>
      <xdr:col>7</xdr:col>
      <xdr:colOff>190500</xdr:colOff>
      <xdr:row>18</xdr:row>
      <xdr:rowOff>31783</xdr:rowOff>
    </xdr:from>
    <xdr:to>
      <xdr:col>8</xdr:col>
      <xdr:colOff>542925</xdr:colOff>
      <xdr:row>26</xdr:row>
      <xdr:rowOff>200024</xdr:rowOff>
    </xdr:to>
    <xdr:sp macro="" textlink="">
      <xdr:nvSpPr>
        <xdr:cNvPr id="20718" name="Text Box 238">
          <a:extLst>
            <a:ext uri="{FF2B5EF4-FFF2-40B4-BE49-F238E27FC236}">
              <a16:creationId xmlns:a16="http://schemas.microsoft.com/office/drawing/2014/main" id="{00000000-0008-0000-0200-0000EE500000}"/>
            </a:ext>
          </a:extLst>
        </xdr:cNvPr>
        <xdr:cNvSpPr txBox="1">
          <a:spLocks noChangeArrowheads="1"/>
        </xdr:cNvSpPr>
      </xdr:nvSpPr>
      <xdr:spPr bwMode="auto">
        <a:xfrm>
          <a:off x="3921042" y="3504087"/>
          <a:ext cx="1333729" cy="1820963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18000" tIns="18000" rIns="18000" bIns="1800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caudal standard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correspondente a cada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aparelho a gás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é calculado automaticamente.</a:t>
          </a:r>
        </a:p>
      </xdr:txBody>
    </xdr:sp>
    <xdr:clientData/>
  </xdr:twoCellAnchor>
  <xdr:twoCellAnchor editAs="absolute">
    <xdr:from>
      <xdr:col>8</xdr:col>
      <xdr:colOff>604155</xdr:colOff>
      <xdr:row>19</xdr:row>
      <xdr:rowOff>12684</xdr:rowOff>
    </xdr:from>
    <xdr:to>
      <xdr:col>13</xdr:col>
      <xdr:colOff>518429</xdr:colOff>
      <xdr:row>26</xdr:row>
      <xdr:rowOff>192894</xdr:rowOff>
    </xdr:to>
    <xdr:sp macro="" textlink="">
      <xdr:nvSpPr>
        <xdr:cNvPr id="20725" name="AutoShape 245">
          <a:extLst>
            <a:ext uri="{FF2B5EF4-FFF2-40B4-BE49-F238E27FC236}">
              <a16:creationId xmlns:a16="http://schemas.microsoft.com/office/drawing/2014/main" id="{00000000-0008-0000-0200-0000F5500000}"/>
            </a:ext>
          </a:extLst>
        </xdr:cNvPr>
        <xdr:cNvSpPr>
          <a:spLocks noChangeArrowheads="1"/>
        </xdr:cNvSpPr>
      </xdr:nvSpPr>
      <xdr:spPr bwMode="auto">
        <a:xfrm>
          <a:off x="5306784" y="3702504"/>
          <a:ext cx="3463016" cy="1600200"/>
        </a:xfrm>
        <a:prstGeom prst="leftArrowCallout">
          <a:avLst>
            <a:gd name="adj1" fmla="val 25194"/>
            <a:gd name="adj2" fmla="val 25000"/>
            <a:gd name="adj3" fmla="val 24551"/>
            <a:gd name="adj4" fmla="val 77287"/>
          </a:avLst>
        </a:prstGeom>
        <a:solidFill>
          <a:schemeClr val="bg2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72000" tIns="46800" rIns="72000" bIns="46800" anchor="t" upright="1"/>
        <a:lstStyle/>
        <a:p>
          <a:pPr algn="l" rtl="0">
            <a:lnSpc>
              <a:spcPts val="1300"/>
            </a:lnSpc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Bloco I de Personalização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Introduzir nas células a "verde", a seguinte informação sobre outros Aparelhos a Gás:</a:t>
          </a: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Descrição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sumária do Aparelho,</a:t>
          </a: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Respectiva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Potência Nominal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kW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</a:t>
          </a: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e medida 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condições normais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l" rtl="0">
            <a:lnSpc>
              <a:spcPts val="11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9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Nota: Capacidade para 9 novos Aparelhos.</a:t>
          </a:r>
        </a:p>
      </xdr:txBody>
    </xdr:sp>
    <xdr:clientData/>
  </xdr:twoCellAnchor>
  <xdr:twoCellAnchor>
    <xdr:from>
      <xdr:col>7</xdr:col>
      <xdr:colOff>190500</xdr:colOff>
      <xdr:row>3</xdr:row>
      <xdr:rowOff>38100</xdr:rowOff>
    </xdr:from>
    <xdr:to>
      <xdr:col>8</xdr:col>
      <xdr:colOff>542925</xdr:colOff>
      <xdr:row>17</xdr:row>
      <xdr:rowOff>200025</xdr:rowOff>
    </xdr:to>
    <xdr:grpSp>
      <xdr:nvGrpSpPr>
        <xdr:cNvPr id="118433" name="Group 268">
          <a:extLst>
            <a:ext uri="{FF2B5EF4-FFF2-40B4-BE49-F238E27FC236}">
              <a16:creationId xmlns:a16="http://schemas.microsoft.com/office/drawing/2014/main" id="{00000000-0008-0000-0200-0000A1CE0100}"/>
            </a:ext>
          </a:extLst>
        </xdr:cNvPr>
        <xdr:cNvGrpSpPr>
          <a:grpSpLocks/>
        </xdr:cNvGrpSpPr>
      </xdr:nvGrpSpPr>
      <xdr:grpSpPr bwMode="auto">
        <a:xfrm>
          <a:off x="3911435" y="651658"/>
          <a:ext cx="1332139" cy="2843770"/>
          <a:chOff x="408" y="66"/>
          <a:chExt cx="134" cy="300"/>
        </a:xfrm>
      </xdr:grpSpPr>
      <xdr:grpSp>
        <xdr:nvGrpSpPr>
          <xdr:cNvPr id="118475" name="Group 266">
            <a:extLst>
              <a:ext uri="{FF2B5EF4-FFF2-40B4-BE49-F238E27FC236}">
                <a16:creationId xmlns:a16="http://schemas.microsoft.com/office/drawing/2014/main" id="{00000000-0008-0000-0200-0000CBCE0100}"/>
              </a:ext>
            </a:extLst>
          </xdr:cNvPr>
          <xdr:cNvGrpSpPr>
            <a:grpSpLocks/>
          </xdr:cNvGrpSpPr>
        </xdr:nvGrpSpPr>
        <xdr:grpSpPr bwMode="auto">
          <a:xfrm>
            <a:off x="408" y="88"/>
            <a:ext cx="134" cy="278"/>
            <a:chOff x="408" y="88"/>
            <a:chExt cx="134" cy="278"/>
          </a:xfrm>
        </xdr:grpSpPr>
        <xdr:grpSp>
          <xdr:nvGrpSpPr>
            <xdr:cNvPr id="118477" name="Group 265">
              <a:extLst>
                <a:ext uri="{FF2B5EF4-FFF2-40B4-BE49-F238E27FC236}">
                  <a16:creationId xmlns:a16="http://schemas.microsoft.com/office/drawing/2014/main" id="{00000000-0008-0000-0200-0000CDCE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08" y="88"/>
              <a:ext cx="134" cy="61"/>
              <a:chOff x="408" y="88"/>
              <a:chExt cx="134" cy="61"/>
            </a:xfrm>
          </xdr:grpSpPr>
          <xdr:sp macro="" textlink="">
            <xdr:nvSpPr>
              <xdr:cNvPr id="20563" name="Text Box 83">
                <a:extLst>
                  <a:ext uri="{FF2B5EF4-FFF2-40B4-BE49-F238E27FC236}">
                    <a16:creationId xmlns:a16="http://schemas.microsoft.com/office/drawing/2014/main" id="{00000000-0008-0000-0200-000053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08" y="88"/>
                <a:ext cx="65" cy="37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Caudal</a:t>
                </a:r>
              </a:p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Nominal</a:t>
                </a:r>
              </a:p>
            </xdr:txBody>
          </xdr:sp>
          <xdr:sp macro="" textlink="">
            <xdr:nvSpPr>
              <xdr:cNvPr id="20564" name="Text Box 84">
                <a:extLst>
                  <a:ext uri="{FF2B5EF4-FFF2-40B4-BE49-F238E27FC236}">
                    <a16:creationId xmlns:a16="http://schemas.microsoft.com/office/drawing/2014/main" id="{00000000-0008-0000-0200-000054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08" y="127"/>
                <a:ext cx="65" cy="22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m</a:t>
                </a:r>
                <a:r>
                  <a:rPr lang="pt-PT" sz="1000" b="0" i="0" u="none" strike="noStrike" baseline="30000">
                    <a:solidFill>
                      <a:srgbClr val="FFFFFF"/>
                    </a:solidFill>
                    <a:latin typeface="Arial"/>
                    <a:cs typeface="Arial"/>
                  </a:rPr>
                  <a:t>3</a:t>
                </a: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(n)/h</a:t>
                </a:r>
              </a:p>
            </xdr:txBody>
          </xdr:sp>
          <xdr:sp macro="" textlink="">
            <xdr:nvSpPr>
              <xdr:cNvPr id="20595" name="Text Box 115">
                <a:extLst>
                  <a:ext uri="{FF2B5EF4-FFF2-40B4-BE49-F238E27FC236}">
                    <a16:creationId xmlns:a16="http://schemas.microsoft.com/office/drawing/2014/main" id="{00000000-0008-0000-0200-000073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79" y="88"/>
                <a:ext cx="63" cy="37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Caudal</a:t>
                </a:r>
              </a:p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Standard</a:t>
                </a:r>
              </a:p>
            </xdr:txBody>
          </xdr:sp>
          <xdr:sp macro="" textlink="">
            <xdr:nvSpPr>
              <xdr:cNvPr id="20596" name="Text Box 116">
                <a:extLst>
                  <a:ext uri="{FF2B5EF4-FFF2-40B4-BE49-F238E27FC236}">
                    <a16:creationId xmlns:a16="http://schemas.microsoft.com/office/drawing/2014/main" id="{00000000-0008-0000-0200-000074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79" y="127"/>
                <a:ext cx="63" cy="22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m</a:t>
                </a:r>
                <a:r>
                  <a:rPr lang="pt-PT" sz="1000" b="0" i="0" u="none" strike="noStrike" baseline="30000">
                    <a:solidFill>
                      <a:srgbClr val="FFFFFF"/>
                    </a:solidFill>
                    <a:latin typeface="Arial"/>
                    <a:cs typeface="Arial"/>
                  </a:rPr>
                  <a:t>3</a:t>
                </a: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(st)/h</a:t>
                </a:r>
              </a:p>
            </xdr:txBody>
          </xdr:sp>
        </xdr:grpSp>
        <xdr:grpSp>
          <xdr:nvGrpSpPr>
            <xdr:cNvPr id="118478" name="Group 239">
              <a:extLst>
                <a:ext uri="{FF2B5EF4-FFF2-40B4-BE49-F238E27FC236}">
                  <a16:creationId xmlns:a16="http://schemas.microsoft.com/office/drawing/2014/main" id="{00000000-0008-0000-0200-0000CECE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08" y="150"/>
              <a:ext cx="134" cy="216"/>
              <a:chOff x="396" y="150"/>
              <a:chExt cx="134" cy="216"/>
            </a:xfrm>
          </xdr:grpSpPr>
          <xdr:sp macro="" textlink="">
            <xdr:nvSpPr>
              <xdr:cNvPr id="20565" name="Text Box 85">
                <a:extLst>
                  <a:ext uri="{FF2B5EF4-FFF2-40B4-BE49-F238E27FC236}">
                    <a16:creationId xmlns:a16="http://schemas.microsoft.com/office/drawing/2014/main" id="{00000000-0008-0000-0200-000055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50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1,00</a:t>
                </a:r>
              </a:p>
            </xdr:txBody>
          </xdr:sp>
          <xdr:sp macro="" textlink="">
            <xdr:nvSpPr>
              <xdr:cNvPr id="20568" name="Text Box 88">
                <a:extLst>
                  <a:ext uri="{FF2B5EF4-FFF2-40B4-BE49-F238E27FC236}">
                    <a16:creationId xmlns:a16="http://schemas.microsoft.com/office/drawing/2014/main" id="{00000000-0008-0000-0200-000058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72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0,57</a:t>
                </a:r>
              </a:p>
            </xdr:txBody>
          </xdr:sp>
          <xdr:sp macro="" textlink="">
            <xdr:nvSpPr>
              <xdr:cNvPr id="20571" name="Text Box 91">
                <a:extLst>
                  <a:ext uri="{FF2B5EF4-FFF2-40B4-BE49-F238E27FC236}">
                    <a16:creationId xmlns:a16="http://schemas.microsoft.com/office/drawing/2014/main" id="{00000000-0008-0000-0200-00005B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94"/>
                <a:ext cx="65" cy="19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2,20</a:t>
                </a:r>
              </a:p>
            </xdr:txBody>
          </xdr:sp>
          <xdr:sp macro="" textlink="">
            <xdr:nvSpPr>
              <xdr:cNvPr id="20574" name="Text Box 94">
                <a:extLst>
                  <a:ext uri="{FF2B5EF4-FFF2-40B4-BE49-F238E27FC236}">
                    <a16:creationId xmlns:a16="http://schemas.microsoft.com/office/drawing/2014/main" id="{00000000-0008-0000-0200-00005E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14"/>
                <a:ext cx="65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2,75</a:t>
                </a:r>
              </a:p>
            </xdr:txBody>
          </xdr:sp>
          <xdr:sp macro="" textlink="">
            <xdr:nvSpPr>
              <xdr:cNvPr id="20577" name="Text Box 97">
                <a:extLst>
                  <a:ext uri="{FF2B5EF4-FFF2-40B4-BE49-F238E27FC236}">
                    <a16:creationId xmlns:a16="http://schemas.microsoft.com/office/drawing/2014/main" id="{00000000-0008-0000-0200-000061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37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2,75</a:t>
                </a:r>
              </a:p>
            </xdr:txBody>
          </xdr:sp>
          <xdr:sp macro="" textlink="">
            <xdr:nvSpPr>
              <xdr:cNvPr id="20580" name="Text Box 100">
                <a:extLst>
                  <a:ext uri="{FF2B5EF4-FFF2-40B4-BE49-F238E27FC236}">
                    <a16:creationId xmlns:a16="http://schemas.microsoft.com/office/drawing/2014/main" id="{00000000-0008-0000-0200-000064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58"/>
                <a:ext cx="65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3,32</a:t>
                </a:r>
              </a:p>
            </xdr:txBody>
          </xdr:sp>
          <xdr:sp macro="" textlink="">
            <xdr:nvSpPr>
              <xdr:cNvPr id="20583" name="Text Box 103">
                <a:extLst>
                  <a:ext uri="{FF2B5EF4-FFF2-40B4-BE49-F238E27FC236}">
                    <a16:creationId xmlns:a16="http://schemas.microsoft.com/office/drawing/2014/main" id="{00000000-0008-0000-0200-000067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81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0,60</a:t>
                </a:r>
              </a:p>
            </xdr:txBody>
          </xdr:sp>
          <xdr:sp macro="" textlink="">
            <xdr:nvSpPr>
              <xdr:cNvPr id="20587" name="Text Box 107">
                <a:extLst>
                  <a:ext uri="{FF2B5EF4-FFF2-40B4-BE49-F238E27FC236}">
                    <a16:creationId xmlns:a16="http://schemas.microsoft.com/office/drawing/2014/main" id="{00000000-0008-0000-0200-00006B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02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0,85</a:t>
                </a:r>
              </a:p>
            </xdr:txBody>
          </xdr:sp>
          <xdr:sp macro="" textlink="">
            <xdr:nvSpPr>
              <xdr:cNvPr id="20590" name="Text Box 110">
                <a:extLst>
                  <a:ext uri="{FF2B5EF4-FFF2-40B4-BE49-F238E27FC236}">
                    <a16:creationId xmlns:a16="http://schemas.microsoft.com/office/drawing/2014/main" id="{00000000-0008-0000-0200-00006E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23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0,38</a:t>
                </a:r>
              </a:p>
            </xdr:txBody>
          </xdr:sp>
          <xdr:sp macro="" textlink="">
            <xdr:nvSpPr>
              <xdr:cNvPr id="20593" name="Text Box 113">
                <a:extLst>
                  <a:ext uri="{FF2B5EF4-FFF2-40B4-BE49-F238E27FC236}">
                    <a16:creationId xmlns:a16="http://schemas.microsoft.com/office/drawing/2014/main" id="{00000000-0008-0000-0200-000071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46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0,47</a:t>
                </a:r>
              </a:p>
            </xdr:txBody>
          </xdr:sp>
          <xdr:sp macro="" textlink="">
            <xdr:nvSpPr>
              <xdr:cNvPr id="20597" name="Text Box 117">
                <a:extLst>
                  <a:ext uri="{FF2B5EF4-FFF2-40B4-BE49-F238E27FC236}">
                    <a16:creationId xmlns:a16="http://schemas.microsoft.com/office/drawing/2014/main" id="{00000000-0008-0000-0200-000075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50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1,06</a:t>
                </a:r>
              </a:p>
            </xdr:txBody>
          </xdr:sp>
          <xdr:sp macro="" textlink="">
            <xdr:nvSpPr>
              <xdr:cNvPr id="20598" name="Text Box 118">
                <a:extLst>
                  <a:ext uri="{FF2B5EF4-FFF2-40B4-BE49-F238E27FC236}">
                    <a16:creationId xmlns:a16="http://schemas.microsoft.com/office/drawing/2014/main" id="{00000000-0008-0000-0200-000076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72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0,61</a:t>
                </a:r>
              </a:p>
            </xdr:txBody>
          </xdr:sp>
          <xdr:sp macro="" textlink="">
            <xdr:nvSpPr>
              <xdr:cNvPr id="20599" name="Text Box 119">
                <a:extLst>
                  <a:ext uri="{FF2B5EF4-FFF2-40B4-BE49-F238E27FC236}">
                    <a16:creationId xmlns:a16="http://schemas.microsoft.com/office/drawing/2014/main" id="{00000000-0008-0000-0200-000077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94"/>
                <a:ext cx="63" cy="19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2,31</a:t>
                </a:r>
              </a:p>
            </xdr:txBody>
          </xdr:sp>
          <xdr:sp macro="" textlink="">
            <xdr:nvSpPr>
              <xdr:cNvPr id="20600" name="Text Box 120">
                <a:extLst>
                  <a:ext uri="{FF2B5EF4-FFF2-40B4-BE49-F238E27FC236}">
                    <a16:creationId xmlns:a16="http://schemas.microsoft.com/office/drawing/2014/main" id="{00000000-0008-0000-0200-000078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14"/>
                <a:ext cx="63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2,91</a:t>
                </a:r>
              </a:p>
            </xdr:txBody>
          </xdr:sp>
          <xdr:sp macro="" textlink="">
            <xdr:nvSpPr>
              <xdr:cNvPr id="20601" name="Text Box 121">
                <a:extLst>
                  <a:ext uri="{FF2B5EF4-FFF2-40B4-BE49-F238E27FC236}">
                    <a16:creationId xmlns:a16="http://schemas.microsoft.com/office/drawing/2014/main" id="{00000000-0008-0000-0200-000079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37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2,91</a:t>
                </a:r>
              </a:p>
            </xdr:txBody>
          </xdr:sp>
          <xdr:sp macro="" textlink="">
            <xdr:nvSpPr>
              <xdr:cNvPr id="20602" name="Text Box 122">
                <a:extLst>
                  <a:ext uri="{FF2B5EF4-FFF2-40B4-BE49-F238E27FC236}">
                    <a16:creationId xmlns:a16="http://schemas.microsoft.com/office/drawing/2014/main" id="{00000000-0008-0000-0200-00007A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58"/>
                <a:ext cx="63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3,52</a:t>
                </a:r>
              </a:p>
            </xdr:txBody>
          </xdr:sp>
          <xdr:sp macro="" textlink="">
            <xdr:nvSpPr>
              <xdr:cNvPr id="20603" name="Text Box 123">
                <a:extLst>
                  <a:ext uri="{FF2B5EF4-FFF2-40B4-BE49-F238E27FC236}">
                    <a16:creationId xmlns:a16="http://schemas.microsoft.com/office/drawing/2014/main" id="{00000000-0008-0000-0200-00007B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81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0,61</a:t>
                </a:r>
              </a:p>
            </xdr:txBody>
          </xdr:sp>
          <xdr:sp macro="" textlink="">
            <xdr:nvSpPr>
              <xdr:cNvPr id="20604" name="Text Box 124">
                <a:extLst>
                  <a:ext uri="{FF2B5EF4-FFF2-40B4-BE49-F238E27FC236}">
                    <a16:creationId xmlns:a16="http://schemas.microsoft.com/office/drawing/2014/main" id="{00000000-0008-0000-0200-00007C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02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0,91</a:t>
                </a:r>
              </a:p>
            </xdr:txBody>
          </xdr:sp>
          <xdr:sp macro="" textlink="">
            <xdr:nvSpPr>
              <xdr:cNvPr id="20605" name="Text Box 125">
                <a:extLst>
                  <a:ext uri="{FF2B5EF4-FFF2-40B4-BE49-F238E27FC236}">
                    <a16:creationId xmlns:a16="http://schemas.microsoft.com/office/drawing/2014/main" id="{00000000-0008-0000-0200-00007D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23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0,41</a:t>
                </a:r>
              </a:p>
            </xdr:txBody>
          </xdr:sp>
          <xdr:sp macro="" textlink="">
            <xdr:nvSpPr>
              <xdr:cNvPr id="20606" name="Text Box 126">
                <a:extLst>
                  <a:ext uri="{FF2B5EF4-FFF2-40B4-BE49-F238E27FC236}">
                    <a16:creationId xmlns:a16="http://schemas.microsoft.com/office/drawing/2014/main" id="{00000000-0008-0000-0200-00007E5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46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0,51</a:t>
                </a:r>
              </a:p>
            </xdr:txBody>
          </xdr:sp>
        </xdr:grpSp>
      </xdr:grpSp>
      <xdr:sp macro="" textlink="">
        <xdr:nvSpPr>
          <xdr:cNvPr id="20742" name="Text Box 262">
            <a:extLst>
              <a:ext uri="{FF2B5EF4-FFF2-40B4-BE49-F238E27FC236}">
                <a16:creationId xmlns:a16="http://schemas.microsoft.com/office/drawing/2014/main" id="{00000000-0008-0000-0200-0000065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8" y="66"/>
            <a:ext cx="134" cy="2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ctr" rtl="0">
              <a:defRPr sz="1000"/>
            </a:pPr>
            <a:r>
              <a:rPr lang="pt-PT" sz="10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Gás Natural</a:t>
            </a:r>
          </a:p>
        </xdr:txBody>
      </xdr:sp>
    </xdr:grpSp>
    <xdr:clientData/>
  </xdr:twoCellAnchor>
  <xdr:twoCellAnchor editAs="absolute">
    <xdr:from>
      <xdr:col>8</xdr:col>
      <xdr:colOff>929368</xdr:colOff>
      <xdr:row>3</xdr:row>
      <xdr:rowOff>38100</xdr:rowOff>
    </xdr:from>
    <xdr:to>
      <xdr:col>10</xdr:col>
      <xdr:colOff>862694</xdr:colOff>
      <xdr:row>17</xdr:row>
      <xdr:rowOff>180161</xdr:rowOff>
    </xdr:to>
    <xdr:grpSp>
      <xdr:nvGrpSpPr>
        <xdr:cNvPr id="118434" name="Group 269">
          <a:extLst>
            <a:ext uri="{FF2B5EF4-FFF2-40B4-BE49-F238E27FC236}">
              <a16:creationId xmlns:a16="http://schemas.microsoft.com/office/drawing/2014/main" id="{00000000-0008-0000-0200-0000A2CE0100}"/>
            </a:ext>
          </a:extLst>
        </xdr:cNvPr>
        <xdr:cNvGrpSpPr>
          <a:grpSpLocks/>
        </xdr:cNvGrpSpPr>
      </xdr:nvGrpSpPr>
      <xdr:grpSpPr bwMode="auto">
        <a:xfrm>
          <a:off x="5630017" y="651658"/>
          <a:ext cx="1313832" cy="2823906"/>
          <a:chOff x="408" y="66"/>
          <a:chExt cx="134" cy="300"/>
        </a:xfrm>
      </xdr:grpSpPr>
      <xdr:grpSp>
        <xdr:nvGrpSpPr>
          <xdr:cNvPr id="118447" name="Group 270">
            <a:extLst>
              <a:ext uri="{FF2B5EF4-FFF2-40B4-BE49-F238E27FC236}">
                <a16:creationId xmlns:a16="http://schemas.microsoft.com/office/drawing/2014/main" id="{00000000-0008-0000-0200-0000AFCE0100}"/>
              </a:ext>
            </a:extLst>
          </xdr:cNvPr>
          <xdr:cNvGrpSpPr>
            <a:grpSpLocks/>
          </xdr:cNvGrpSpPr>
        </xdr:nvGrpSpPr>
        <xdr:grpSpPr bwMode="auto">
          <a:xfrm>
            <a:off x="408" y="88"/>
            <a:ext cx="134" cy="278"/>
            <a:chOff x="408" y="88"/>
            <a:chExt cx="134" cy="278"/>
          </a:xfrm>
        </xdr:grpSpPr>
        <xdr:grpSp>
          <xdr:nvGrpSpPr>
            <xdr:cNvPr id="118449" name="Group 271">
              <a:extLst>
                <a:ext uri="{FF2B5EF4-FFF2-40B4-BE49-F238E27FC236}">
                  <a16:creationId xmlns:a16="http://schemas.microsoft.com/office/drawing/2014/main" id="{00000000-0008-0000-0200-0000B1CE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08" y="88"/>
              <a:ext cx="134" cy="61"/>
              <a:chOff x="408" y="88"/>
              <a:chExt cx="134" cy="61"/>
            </a:xfrm>
          </xdr:grpSpPr>
          <xdr:sp macro="" textlink="">
            <xdr:nvSpPr>
              <xdr:cNvPr id="20752" name="Text Box 272">
                <a:extLst>
                  <a:ext uri="{FF2B5EF4-FFF2-40B4-BE49-F238E27FC236}">
                    <a16:creationId xmlns:a16="http://schemas.microsoft.com/office/drawing/2014/main" id="{00000000-0008-0000-0200-000010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08" y="88"/>
                <a:ext cx="65" cy="37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Caudal</a:t>
                </a:r>
              </a:p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Nominal</a:t>
                </a:r>
              </a:p>
            </xdr:txBody>
          </xdr:sp>
          <xdr:sp macro="" textlink="">
            <xdr:nvSpPr>
              <xdr:cNvPr id="20753" name="Text Box 273">
                <a:extLst>
                  <a:ext uri="{FF2B5EF4-FFF2-40B4-BE49-F238E27FC236}">
                    <a16:creationId xmlns:a16="http://schemas.microsoft.com/office/drawing/2014/main" id="{00000000-0008-0000-0200-000011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08" y="127"/>
                <a:ext cx="65" cy="22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m</a:t>
                </a:r>
                <a:r>
                  <a:rPr lang="pt-PT" sz="1000" b="0" i="0" u="none" strike="noStrike" baseline="30000">
                    <a:solidFill>
                      <a:srgbClr val="FFFFFF"/>
                    </a:solidFill>
                    <a:latin typeface="Arial"/>
                    <a:cs typeface="Arial"/>
                  </a:rPr>
                  <a:t>3</a:t>
                </a: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(n)/h</a:t>
                </a:r>
              </a:p>
            </xdr:txBody>
          </xdr:sp>
          <xdr:sp macro="" textlink="">
            <xdr:nvSpPr>
              <xdr:cNvPr id="20754" name="Text Box 274">
                <a:extLst>
                  <a:ext uri="{FF2B5EF4-FFF2-40B4-BE49-F238E27FC236}">
                    <a16:creationId xmlns:a16="http://schemas.microsoft.com/office/drawing/2014/main" id="{00000000-0008-0000-0200-000012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79" y="88"/>
                <a:ext cx="63" cy="37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Caudal</a:t>
                </a:r>
              </a:p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Standard</a:t>
                </a:r>
              </a:p>
            </xdr:txBody>
          </xdr:sp>
          <xdr:sp macro="" textlink="">
            <xdr:nvSpPr>
              <xdr:cNvPr id="20755" name="Text Box 275">
                <a:extLst>
                  <a:ext uri="{FF2B5EF4-FFF2-40B4-BE49-F238E27FC236}">
                    <a16:creationId xmlns:a16="http://schemas.microsoft.com/office/drawing/2014/main" id="{00000000-0008-0000-0200-000013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79" y="127"/>
                <a:ext cx="63" cy="22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m</a:t>
                </a:r>
                <a:r>
                  <a:rPr lang="pt-PT" sz="1000" b="0" i="0" u="none" strike="noStrike" baseline="30000">
                    <a:solidFill>
                      <a:srgbClr val="FFFFFF"/>
                    </a:solidFill>
                    <a:latin typeface="Arial"/>
                    <a:cs typeface="Arial"/>
                  </a:rPr>
                  <a:t>3</a:t>
                </a:r>
                <a:r>
                  <a:rPr lang="pt-PT" sz="10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(st)/h</a:t>
                </a:r>
              </a:p>
            </xdr:txBody>
          </xdr:sp>
        </xdr:grpSp>
        <xdr:grpSp>
          <xdr:nvGrpSpPr>
            <xdr:cNvPr id="118450" name="Group 276">
              <a:extLst>
                <a:ext uri="{FF2B5EF4-FFF2-40B4-BE49-F238E27FC236}">
                  <a16:creationId xmlns:a16="http://schemas.microsoft.com/office/drawing/2014/main" id="{00000000-0008-0000-0200-0000B2CE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08" y="150"/>
              <a:ext cx="134" cy="216"/>
              <a:chOff x="396" y="150"/>
              <a:chExt cx="134" cy="216"/>
            </a:xfrm>
          </xdr:grpSpPr>
          <xdr:sp macro="" textlink="">
            <xdr:nvSpPr>
              <xdr:cNvPr id="20757" name="Text Box 277">
                <a:extLst>
                  <a:ext uri="{FF2B5EF4-FFF2-40B4-BE49-F238E27FC236}">
                    <a16:creationId xmlns:a16="http://schemas.microsoft.com/office/drawing/2014/main" id="{00000000-0008-0000-0200-000015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50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0,40</a:t>
                </a:r>
              </a:p>
            </xdr:txBody>
          </xdr:sp>
          <xdr:sp macro="" textlink="">
            <xdr:nvSpPr>
              <xdr:cNvPr id="20758" name="Text Box 278">
                <a:extLst>
                  <a:ext uri="{FF2B5EF4-FFF2-40B4-BE49-F238E27FC236}">
                    <a16:creationId xmlns:a16="http://schemas.microsoft.com/office/drawing/2014/main" id="{00000000-0008-0000-0200-000016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72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0,23</a:t>
                </a:r>
              </a:p>
            </xdr:txBody>
          </xdr:sp>
          <xdr:sp macro="" textlink="">
            <xdr:nvSpPr>
              <xdr:cNvPr id="20759" name="Text Box 279">
                <a:extLst>
                  <a:ext uri="{FF2B5EF4-FFF2-40B4-BE49-F238E27FC236}">
                    <a16:creationId xmlns:a16="http://schemas.microsoft.com/office/drawing/2014/main" id="{00000000-0008-0000-0200-000017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194"/>
                <a:ext cx="65" cy="19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0,88</a:t>
                </a:r>
              </a:p>
            </xdr:txBody>
          </xdr:sp>
          <xdr:sp macro="" textlink="">
            <xdr:nvSpPr>
              <xdr:cNvPr id="20760" name="Text Box 280">
                <a:extLst>
                  <a:ext uri="{FF2B5EF4-FFF2-40B4-BE49-F238E27FC236}">
                    <a16:creationId xmlns:a16="http://schemas.microsoft.com/office/drawing/2014/main" id="{00000000-0008-0000-0200-000018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14"/>
                <a:ext cx="65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1,12</a:t>
                </a:r>
              </a:p>
            </xdr:txBody>
          </xdr:sp>
          <xdr:sp macro="" textlink="">
            <xdr:nvSpPr>
              <xdr:cNvPr id="20761" name="Text Box 281">
                <a:extLst>
                  <a:ext uri="{FF2B5EF4-FFF2-40B4-BE49-F238E27FC236}">
                    <a16:creationId xmlns:a16="http://schemas.microsoft.com/office/drawing/2014/main" id="{00000000-0008-0000-0200-000019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37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1,12</a:t>
                </a:r>
              </a:p>
            </xdr:txBody>
          </xdr:sp>
          <xdr:sp macro="" textlink="">
            <xdr:nvSpPr>
              <xdr:cNvPr id="20762" name="Text Box 282">
                <a:extLst>
                  <a:ext uri="{FF2B5EF4-FFF2-40B4-BE49-F238E27FC236}">
                    <a16:creationId xmlns:a16="http://schemas.microsoft.com/office/drawing/2014/main" id="{00000000-0008-0000-0200-00001A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58"/>
                <a:ext cx="65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1,35</a:t>
                </a:r>
              </a:p>
            </xdr:txBody>
          </xdr:sp>
          <xdr:sp macro="" textlink="">
            <xdr:nvSpPr>
              <xdr:cNvPr id="20763" name="Text Box 283">
                <a:extLst>
                  <a:ext uri="{FF2B5EF4-FFF2-40B4-BE49-F238E27FC236}">
                    <a16:creationId xmlns:a16="http://schemas.microsoft.com/office/drawing/2014/main" id="{00000000-0008-0000-0200-00001B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281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0,23</a:t>
                </a:r>
              </a:p>
            </xdr:txBody>
          </xdr:sp>
          <xdr:sp macro="" textlink="">
            <xdr:nvSpPr>
              <xdr:cNvPr id="20764" name="Text Box 284">
                <a:extLst>
                  <a:ext uri="{FF2B5EF4-FFF2-40B4-BE49-F238E27FC236}">
                    <a16:creationId xmlns:a16="http://schemas.microsoft.com/office/drawing/2014/main" id="{00000000-0008-0000-0200-00001C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02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0,35</a:t>
                </a:r>
              </a:p>
            </xdr:txBody>
          </xdr:sp>
          <xdr:sp macro="" textlink="">
            <xdr:nvSpPr>
              <xdr:cNvPr id="20765" name="Text Box 285">
                <a:extLst>
                  <a:ext uri="{FF2B5EF4-FFF2-40B4-BE49-F238E27FC236}">
                    <a16:creationId xmlns:a16="http://schemas.microsoft.com/office/drawing/2014/main" id="{00000000-0008-0000-0200-00001D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23"/>
                <a:ext cx="65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0,15</a:t>
                </a:r>
              </a:p>
            </xdr:txBody>
          </xdr:sp>
          <xdr:sp macro="" textlink="">
            <xdr:nvSpPr>
              <xdr:cNvPr id="20766" name="Text Box 286">
                <a:extLst>
                  <a:ext uri="{FF2B5EF4-FFF2-40B4-BE49-F238E27FC236}">
                    <a16:creationId xmlns:a16="http://schemas.microsoft.com/office/drawing/2014/main" id="{00000000-0008-0000-0200-00001E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396" y="346"/>
                <a:ext cx="65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0,19</a:t>
                </a:r>
              </a:p>
            </xdr:txBody>
          </xdr:sp>
          <xdr:sp macro="" textlink="">
            <xdr:nvSpPr>
              <xdr:cNvPr id="20767" name="Text Box 287">
                <a:extLst>
                  <a:ext uri="{FF2B5EF4-FFF2-40B4-BE49-F238E27FC236}">
                    <a16:creationId xmlns:a16="http://schemas.microsoft.com/office/drawing/2014/main" id="{00000000-0008-0000-0200-00001F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50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0.43</a:t>
                </a:r>
              </a:p>
            </xdr:txBody>
          </xdr:sp>
          <xdr:sp macro="" textlink="">
            <xdr:nvSpPr>
              <xdr:cNvPr id="20768" name="Text Box 288">
                <a:extLst>
                  <a:ext uri="{FF2B5EF4-FFF2-40B4-BE49-F238E27FC236}">
                    <a16:creationId xmlns:a16="http://schemas.microsoft.com/office/drawing/2014/main" id="{00000000-0008-0000-0200-000020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72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0,25</a:t>
                </a:r>
              </a:p>
            </xdr:txBody>
          </xdr:sp>
          <xdr:sp macro="" textlink="">
            <xdr:nvSpPr>
              <xdr:cNvPr id="20769" name="Text Box 289">
                <a:extLst>
                  <a:ext uri="{FF2B5EF4-FFF2-40B4-BE49-F238E27FC236}">
                    <a16:creationId xmlns:a16="http://schemas.microsoft.com/office/drawing/2014/main" id="{00000000-0008-0000-0200-000021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194"/>
                <a:ext cx="63" cy="19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0,94</a:t>
                </a:r>
              </a:p>
            </xdr:txBody>
          </xdr:sp>
          <xdr:sp macro="" textlink="">
            <xdr:nvSpPr>
              <xdr:cNvPr id="20770" name="Text Box 290">
                <a:extLst>
                  <a:ext uri="{FF2B5EF4-FFF2-40B4-BE49-F238E27FC236}">
                    <a16:creationId xmlns:a16="http://schemas.microsoft.com/office/drawing/2014/main" id="{00000000-0008-0000-0200-000022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14"/>
                <a:ext cx="63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1,19</a:t>
                </a:r>
              </a:p>
            </xdr:txBody>
          </xdr:sp>
          <xdr:sp macro="" textlink="">
            <xdr:nvSpPr>
              <xdr:cNvPr id="20771" name="Text Box 291">
                <a:extLst>
                  <a:ext uri="{FF2B5EF4-FFF2-40B4-BE49-F238E27FC236}">
                    <a16:creationId xmlns:a16="http://schemas.microsoft.com/office/drawing/2014/main" id="{00000000-0008-0000-0200-000023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37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1,19</a:t>
                </a:r>
              </a:p>
            </xdr:txBody>
          </xdr:sp>
          <xdr:sp macro="" textlink="">
            <xdr:nvSpPr>
              <xdr:cNvPr id="20772" name="Text Box 292">
                <a:extLst>
                  <a:ext uri="{FF2B5EF4-FFF2-40B4-BE49-F238E27FC236}">
                    <a16:creationId xmlns:a16="http://schemas.microsoft.com/office/drawing/2014/main" id="{00000000-0008-0000-0200-000024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58"/>
                <a:ext cx="63" cy="22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1,43</a:t>
                </a:r>
              </a:p>
            </xdr:txBody>
          </xdr:sp>
          <xdr:sp macro="" textlink="">
            <xdr:nvSpPr>
              <xdr:cNvPr id="20773" name="Text Box 293">
                <a:extLst>
                  <a:ext uri="{FF2B5EF4-FFF2-40B4-BE49-F238E27FC236}">
                    <a16:creationId xmlns:a16="http://schemas.microsoft.com/office/drawing/2014/main" id="{00000000-0008-0000-0200-000025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281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0,25</a:t>
                </a:r>
              </a:p>
            </xdr:txBody>
          </xdr:sp>
          <xdr:sp macro="" textlink="">
            <xdr:nvSpPr>
              <xdr:cNvPr id="20774" name="Text Box 294">
                <a:extLst>
                  <a:ext uri="{FF2B5EF4-FFF2-40B4-BE49-F238E27FC236}">
                    <a16:creationId xmlns:a16="http://schemas.microsoft.com/office/drawing/2014/main" id="{00000000-0008-0000-0200-000026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02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0,37</a:t>
                </a:r>
              </a:p>
            </xdr:txBody>
          </xdr:sp>
          <xdr:sp macro="" textlink="">
            <xdr:nvSpPr>
              <xdr:cNvPr id="20775" name="Text Box 295">
                <a:extLst>
                  <a:ext uri="{FF2B5EF4-FFF2-40B4-BE49-F238E27FC236}">
                    <a16:creationId xmlns:a16="http://schemas.microsoft.com/office/drawing/2014/main" id="{00000000-0008-0000-0200-000027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23"/>
                <a:ext cx="63" cy="21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0,17</a:t>
                </a:r>
              </a:p>
            </xdr:txBody>
          </xdr:sp>
          <xdr:sp macro="" textlink="">
            <xdr:nvSpPr>
              <xdr:cNvPr id="20776" name="Text Box 296">
                <a:extLst>
                  <a:ext uri="{FF2B5EF4-FFF2-40B4-BE49-F238E27FC236}">
                    <a16:creationId xmlns:a16="http://schemas.microsoft.com/office/drawing/2014/main" id="{00000000-0008-0000-0200-0000285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467" y="346"/>
                <a:ext cx="63" cy="20"/>
              </a:xfrm>
              <a:prstGeom prst="rect">
                <a:avLst/>
              </a:prstGeom>
              <a:solidFill>
                <a:schemeClr val="bg1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0,21</a:t>
                </a:r>
              </a:p>
            </xdr:txBody>
          </xdr:sp>
        </xdr:grpSp>
      </xdr:grpSp>
      <xdr:sp macro="" textlink="">
        <xdr:nvSpPr>
          <xdr:cNvPr id="20777" name="Text Box 297">
            <a:extLst>
              <a:ext uri="{FF2B5EF4-FFF2-40B4-BE49-F238E27FC236}">
                <a16:creationId xmlns:a16="http://schemas.microsoft.com/office/drawing/2014/main" id="{00000000-0008-0000-0200-0000295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8" y="66"/>
            <a:ext cx="134" cy="2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ctr" rtl="0">
              <a:defRPr sz="1000"/>
            </a:pPr>
            <a:r>
              <a:rPr lang="pt-PT" sz="10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GPL</a:t>
            </a:r>
          </a:p>
        </xdr:txBody>
      </xdr:sp>
    </xdr:grpSp>
    <xdr:clientData/>
  </xdr:twoCellAnchor>
  <xdr:twoCellAnchor>
    <xdr:from>
      <xdr:col>12</xdr:col>
      <xdr:colOff>86950</xdr:colOff>
      <xdr:row>82</xdr:row>
      <xdr:rowOff>143184</xdr:rowOff>
    </xdr:from>
    <xdr:to>
      <xdr:col>14</xdr:col>
      <xdr:colOff>422090</xdr:colOff>
      <xdr:row>87</xdr:row>
      <xdr:rowOff>12052</xdr:rowOff>
    </xdr:to>
    <xdr:grpSp>
      <xdr:nvGrpSpPr>
        <xdr:cNvPr id="118437" name="Group 317">
          <a:extLst>
            <a:ext uri="{FF2B5EF4-FFF2-40B4-BE49-F238E27FC236}">
              <a16:creationId xmlns:a16="http://schemas.microsoft.com/office/drawing/2014/main" id="{00000000-0008-0000-0200-0000A5CE0100}"/>
            </a:ext>
          </a:extLst>
        </xdr:cNvPr>
        <xdr:cNvGrpSpPr>
          <a:grpSpLocks/>
        </xdr:cNvGrpSpPr>
      </xdr:nvGrpSpPr>
      <xdr:grpSpPr bwMode="auto">
        <a:xfrm>
          <a:off x="7751483" y="14205548"/>
          <a:ext cx="1537516" cy="601179"/>
          <a:chOff x="717" y="1538"/>
          <a:chExt cx="165" cy="77"/>
        </a:xfrm>
      </xdr:grpSpPr>
      <xdr:pic>
        <xdr:nvPicPr>
          <xdr:cNvPr id="118443" name="Picture 299" descr="Resize of logoapta">
            <a:extLst>
              <a:ext uri="{FF2B5EF4-FFF2-40B4-BE49-F238E27FC236}">
                <a16:creationId xmlns:a16="http://schemas.microsoft.com/office/drawing/2014/main" id="{00000000-0008-0000-0200-0000ABCE01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8" y="1538"/>
            <a:ext cx="77" cy="5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780" name="Text Box 300">
            <a:extLst>
              <a:ext uri="{FF2B5EF4-FFF2-40B4-BE49-F238E27FC236}">
                <a16:creationId xmlns:a16="http://schemas.microsoft.com/office/drawing/2014/main" id="{00000000-0008-0000-0200-00002C5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9" y="1593"/>
            <a:ext cx="143" cy="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20781" name="Text Box 3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2D5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7" y="1559"/>
            <a:ext cx="69" cy="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  <xdr:sp macro="" textlink="">
        <xdr:nvSpPr>
          <xdr:cNvPr id="20782" name="Text Box 302">
            <a:extLst>
              <a:ext uri="{FF2B5EF4-FFF2-40B4-BE49-F238E27FC236}">
                <a16:creationId xmlns:a16="http://schemas.microsoft.com/office/drawing/2014/main" id="{00000000-0008-0000-0200-00002E5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21" y="1591"/>
            <a:ext cx="24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</xdr:grpSp>
    <xdr:clientData/>
  </xdr:twoCellAnchor>
  <xdr:twoCellAnchor editAs="absolute">
    <xdr:from>
      <xdr:col>9</xdr:col>
      <xdr:colOff>281673</xdr:colOff>
      <xdr:row>41</xdr:row>
      <xdr:rowOff>11870</xdr:rowOff>
    </xdr:from>
    <xdr:to>
      <xdr:col>14</xdr:col>
      <xdr:colOff>367398</xdr:colOff>
      <xdr:row>59</xdr:row>
      <xdr:rowOff>146183</xdr:rowOff>
    </xdr:to>
    <xdr:sp macro="" textlink="">
      <xdr:nvSpPr>
        <xdr:cNvPr id="20795" name="AutoShape 315">
          <a:extLst>
            <a:ext uri="{FF2B5EF4-FFF2-40B4-BE49-F238E27FC236}">
              <a16:creationId xmlns:a16="http://schemas.microsoft.com/office/drawing/2014/main" id="{00000000-0008-0000-0200-00003B510000}"/>
            </a:ext>
          </a:extLst>
        </xdr:cNvPr>
        <xdr:cNvSpPr>
          <a:spLocks noChangeArrowheads="1"/>
        </xdr:cNvSpPr>
      </xdr:nvSpPr>
      <xdr:spPr bwMode="auto">
        <a:xfrm rot="5400000">
          <a:off x="6162000" y="7560808"/>
          <a:ext cx="2975882" cy="3167743"/>
        </a:xfrm>
        <a:prstGeom prst="leftArrowCallout">
          <a:avLst>
            <a:gd name="adj1" fmla="val 10898"/>
            <a:gd name="adj2" fmla="val 14426"/>
            <a:gd name="adj3" fmla="val 12980"/>
            <a:gd name="adj4" fmla="val 80833"/>
          </a:avLst>
        </a:prstGeom>
        <a:solidFill>
          <a:schemeClr val="bg2">
            <a:lumMod val="75000"/>
          </a:schemeClr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72000" tIns="46800" rIns="72000" bIns="46800" anchor="t" upright="1"/>
        <a:lstStyle/>
        <a:p>
          <a:pPr algn="l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Bloco II de Personalização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Introduzir nas células a "verde", a seguinte informação sobre outros Tipos de Gases: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Designação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sumária do Tipo de Gás,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Respectivas características: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Poder calorífico inferior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P.C.I.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kcal/m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       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(medido em condições normais).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Densidade relativa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Densidade corrigida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(ou fictícia).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Peso volúmico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kg/m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 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(medido em condições normais).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Nota: Capacidade para 3 tipos específicos de Gás.</a:t>
          </a:r>
        </a:p>
      </xdr:txBody>
    </xdr:sp>
    <xdr:clientData/>
  </xdr:twoCellAnchor>
  <xdr:twoCellAnchor>
    <xdr:from>
      <xdr:col>2</xdr:col>
      <xdr:colOff>239485</xdr:colOff>
      <xdr:row>0</xdr:row>
      <xdr:rowOff>48986</xdr:rowOff>
    </xdr:from>
    <xdr:to>
      <xdr:col>7</xdr:col>
      <xdr:colOff>114300</xdr:colOff>
      <xdr:row>2</xdr:row>
      <xdr:rowOff>10886</xdr:rowOff>
    </xdr:to>
    <xdr:sp macro="" textlink="">
      <xdr:nvSpPr>
        <xdr:cNvPr id="154" name="Retângulo: Cantos Arredondados 153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/>
      </xdr:nvSpPr>
      <xdr:spPr bwMode="auto">
        <a:xfrm>
          <a:off x="582385" y="48986"/>
          <a:ext cx="3369129" cy="261257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6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Especificações para dimensionamento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244926</xdr:colOff>
      <xdr:row>2</xdr:row>
      <xdr:rowOff>70759</xdr:rowOff>
    </xdr:from>
    <xdr:to>
      <xdr:col>10</xdr:col>
      <xdr:colOff>914400</xdr:colOff>
      <xdr:row>3</xdr:row>
      <xdr:rowOff>12516</xdr:rowOff>
    </xdr:to>
    <xdr:sp macro="" textlink="">
      <xdr:nvSpPr>
        <xdr:cNvPr id="155" name="Retângulo: Cantos Arredondados 15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/>
      </xdr:nvSpPr>
      <xdr:spPr bwMode="auto">
        <a:xfrm>
          <a:off x="468083" y="370116"/>
          <a:ext cx="6525988" cy="2520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1: Valores típicos de potência e caudal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10883</xdr:colOff>
      <xdr:row>29</xdr:row>
      <xdr:rowOff>81644</xdr:rowOff>
    </xdr:from>
    <xdr:to>
      <xdr:col>14</xdr:col>
      <xdr:colOff>522516</xdr:colOff>
      <xdr:row>30</xdr:row>
      <xdr:rowOff>12516</xdr:rowOff>
    </xdr:to>
    <xdr:sp macro="" textlink="">
      <xdr:nvSpPr>
        <xdr:cNvPr id="156" name="Retângulo: Cantos Arredondados 155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/>
      </xdr:nvSpPr>
      <xdr:spPr bwMode="auto">
        <a:xfrm>
          <a:off x="6090554" y="5502730"/>
          <a:ext cx="3298376" cy="2520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0: Características dos Gases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244924</xdr:colOff>
      <xdr:row>29</xdr:row>
      <xdr:rowOff>70758</xdr:rowOff>
    </xdr:from>
    <xdr:to>
      <xdr:col>9</xdr:col>
      <xdr:colOff>10885</xdr:colOff>
      <xdr:row>30</xdr:row>
      <xdr:rowOff>1630</xdr:rowOff>
    </xdr:to>
    <xdr:sp macro="" textlink="">
      <xdr:nvSpPr>
        <xdr:cNvPr id="157" name="Retângulo: Cantos Arredondados 156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/>
      </xdr:nvSpPr>
      <xdr:spPr bwMode="auto">
        <a:xfrm>
          <a:off x="468081" y="5491844"/>
          <a:ext cx="5317675" cy="2520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2: Factor de simultaneidade "S"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885950</xdr:colOff>
      <xdr:row>68</xdr:row>
      <xdr:rowOff>11918</xdr:rowOff>
    </xdr:from>
    <xdr:to>
      <xdr:col>15</xdr:col>
      <xdr:colOff>3970</xdr:colOff>
      <xdr:row>82</xdr:row>
      <xdr:rowOff>135284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7796" y="11870990"/>
          <a:ext cx="3817947" cy="2348184"/>
        </a:xfrm>
        <a:prstGeom prst="rect">
          <a:avLst/>
        </a:prstGeom>
      </xdr:spPr>
    </xdr:pic>
    <xdr:clientData/>
  </xdr:twoCellAnchor>
  <xdr:twoCellAnchor>
    <xdr:from>
      <xdr:col>8</xdr:col>
      <xdr:colOff>885072</xdr:colOff>
      <xdr:row>66</xdr:row>
      <xdr:rowOff>41038</xdr:rowOff>
    </xdr:from>
    <xdr:to>
      <xdr:col>14</xdr:col>
      <xdr:colOff>520406</xdr:colOff>
      <xdr:row>68</xdr:row>
      <xdr:rowOff>15453</xdr:rowOff>
    </xdr:to>
    <xdr:sp macro="" textlink="">
      <xdr:nvSpPr>
        <xdr:cNvPr id="158" name="Retângulo: Cantos Arredondados 15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/>
      </xdr:nvSpPr>
      <xdr:spPr bwMode="auto">
        <a:xfrm>
          <a:off x="5596918" y="11622008"/>
          <a:ext cx="3802894" cy="25251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4: Comprimento Equivalente </a:t>
          </a:r>
          <a:r>
            <a:rPr lang="pt-PT" sz="12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L</a:t>
          </a:r>
          <a:r>
            <a:rPr lang="pt-PT" sz="1200" b="1" i="0" baseline="-2500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eq</a:t>
          </a:r>
          <a:r>
            <a:rPr lang="pt-PT" sz="12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2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</a:t>
          </a:r>
          <a:r>
            <a:rPr lang="pt-PT" sz="12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</a:t>
          </a:r>
          <a:r>
            <a:rPr lang="pt-PT" sz="12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)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111241</xdr:colOff>
      <xdr:row>72</xdr:row>
      <xdr:rowOff>79458</xdr:rowOff>
    </xdr:from>
    <xdr:to>
      <xdr:col>8</xdr:col>
      <xdr:colOff>135078</xdr:colOff>
      <xdr:row>84</xdr:row>
      <xdr:rowOff>146997</xdr:rowOff>
    </xdr:to>
    <xdr:sp macro="" textlink="">
      <xdr:nvSpPr>
        <xdr:cNvPr id="11" name="Retângul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337696" y="12689406"/>
          <a:ext cx="4509228" cy="1974525"/>
        </a:xfrm>
        <a:prstGeom prst="rect">
          <a:avLst/>
        </a:prstGeom>
        <a:solidFill>
          <a:srgbClr val="FFFF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vert270" wrap="square" lIns="18288" tIns="0" rIns="0" bIns="0" rtlCol="0" anchor="ctr" upright="1"/>
        <a:lstStyle/>
        <a:p>
          <a:pPr algn="l"/>
          <a:endParaRPr lang="pt-PT" sz="1100"/>
        </a:p>
      </xdr:txBody>
    </xdr:sp>
    <xdr:clientData/>
  </xdr:twoCellAnchor>
  <xdr:twoCellAnchor editAs="oneCell">
    <xdr:from>
      <xdr:col>7</xdr:col>
      <xdr:colOff>438890</xdr:colOff>
      <xdr:row>65</xdr:row>
      <xdr:rowOff>55459</xdr:rowOff>
    </xdr:from>
    <xdr:to>
      <xdr:col>8</xdr:col>
      <xdr:colOff>401261</xdr:colOff>
      <xdr:row>70</xdr:row>
      <xdr:rowOff>148374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9432" y="11636429"/>
          <a:ext cx="943675" cy="804063"/>
        </a:xfrm>
        <a:prstGeom prst="rect">
          <a:avLst/>
        </a:prstGeom>
      </xdr:spPr>
    </xdr:pic>
    <xdr:clientData/>
  </xdr:twoCellAnchor>
  <xdr:twoCellAnchor editAs="oneCell">
    <xdr:from>
      <xdr:col>2</xdr:col>
      <xdr:colOff>218507</xdr:colOff>
      <xdr:row>71</xdr:row>
      <xdr:rowOff>23837</xdr:rowOff>
    </xdr:from>
    <xdr:to>
      <xdr:col>8</xdr:col>
      <xdr:colOff>40267</xdr:colOff>
      <xdr:row>83</xdr:row>
      <xdr:rowOff>11918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962" y="12474869"/>
          <a:ext cx="4307151" cy="1895067"/>
        </a:xfrm>
        <a:prstGeom prst="rect">
          <a:avLst/>
        </a:prstGeom>
      </xdr:spPr>
    </xdr:pic>
    <xdr:clientData/>
  </xdr:twoCellAnchor>
  <xdr:twoCellAnchor>
    <xdr:from>
      <xdr:col>2</xdr:col>
      <xdr:colOff>234038</xdr:colOff>
      <xdr:row>66</xdr:row>
      <xdr:rowOff>30152</xdr:rowOff>
    </xdr:from>
    <xdr:to>
      <xdr:col>7</xdr:col>
      <xdr:colOff>405235</xdr:colOff>
      <xdr:row>68</xdr:row>
      <xdr:rowOff>4567</xdr:rowOff>
    </xdr:to>
    <xdr:sp macro="" textlink="">
      <xdr:nvSpPr>
        <xdr:cNvPr id="159" name="Retângulo: Cantos Arredondados 15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/>
      </xdr:nvSpPr>
      <xdr:spPr bwMode="auto">
        <a:xfrm>
          <a:off x="460493" y="11611122"/>
          <a:ext cx="3675284" cy="25251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3: Gama de tubos de aço (série média)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3973</xdr:colOff>
      <xdr:row>65</xdr:row>
      <xdr:rowOff>3973</xdr:rowOff>
    </xdr:from>
    <xdr:to>
      <xdr:col>9</xdr:col>
      <xdr:colOff>3972</xdr:colOff>
      <xdr:row>65</xdr:row>
      <xdr:rowOff>7946</xdr:rowOff>
    </xdr:to>
    <xdr:cxnSp macro="">
      <xdr:nvCxnSpPr>
        <xdr:cNvPr id="17" name="Conexão reta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 bwMode="auto">
        <a:xfrm>
          <a:off x="476747" y="11680292"/>
          <a:ext cx="5311751" cy="3973"/>
        </a:xfrm>
        <a:prstGeom prst="line">
          <a:avLst/>
        </a:prstGeom>
        <a:solidFill>
          <a:srgbClr val="FFFFFF"/>
        </a:solidFill>
        <a:ln w="25400" cap="flat" cmpd="sng" algn="ctr">
          <a:solidFill>
            <a:schemeClr val="bg1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9376</xdr:colOff>
      <xdr:row>40</xdr:row>
      <xdr:rowOff>7945</xdr:rowOff>
    </xdr:from>
    <xdr:to>
      <xdr:col>14</xdr:col>
      <xdr:colOff>524421</xdr:colOff>
      <xdr:row>40</xdr:row>
      <xdr:rowOff>17321</xdr:rowOff>
    </xdr:to>
    <xdr:cxnSp macro="">
      <xdr:nvCxnSpPr>
        <xdr:cNvPr id="176" name="Conexão reta 175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CxnSpPr/>
      </xdr:nvCxnSpPr>
      <xdr:spPr bwMode="auto">
        <a:xfrm flipV="1">
          <a:off x="6099814" y="7612054"/>
          <a:ext cx="3304013" cy="9376"/>
        </a:xfrm>
        <a:prstGeom prst="line">
          <a:avLst/>
        </a:prstGeom>
        <a:solidFill>
          <a:srgbClr val="FFFFFF"/>
        </a:solidFill>
        <a:ln w="25400" cap="flat" cmpd="sng" algn="ctr">
          <a:solidFill>
            <a:schemeClr val="bg1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243776</xdr:colOff>
      <xdr:row>26</xdr:row>
      <xdr:rowOff>198644</xdr:rowOff>
    </xdr:from>
    <xdr:to>
      <xdr:col>7</xdr:col>
      <xdr:colOff>0</xdr:colOff>
      <xdr:row>28</xdr:row>
      <xdr:rowOff>3973</xdr:rowOff>
    </xdr:to>
    <xdr:cxnSp macro="">
      <xdr:nvCxnSpPr>
        <xdr:cNvPr id="178" name="Conexão reta 177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CxnSpPr/>
      </xdr:nvCxnSpPr>
      <xdr:spPr bwMode="auto">
        <a:xfrm flipV="1">
          <a:off x="470231" y="5311751"/>
          <a:ext cx="3260311" cy="11920"/>
        </a:xfrm>
        <a:prstGeom prst="line">
          <a:avLst/>
        </a:prstGeom>
        <a:solidFill>
          <a:srgbClr val="FFFFFF"/>
        </a:solidFill>
        <a:ln w="25400" cap="flat" cmpd="sng" algn="ctr">
          <a:solidFill>
            <a:schemeClr val="bg1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17</xdr:row>
      <xdr:rowOff>2475</xdr:rowOff>
    </xdr:from>
    <xdr:to>
      <xdr:col>6</xdr:col>
      <xdr:colOff>730704</xdr:colOff>
      <xdr:row>17</xdr:row>
      <xdr:rowOff>2970</xdr:rowOff>
    </xdr:to>
    <xdr:cxnSp macro="">
      <xdr:nvCxnSpPr>
        <xdr:cNvPr id="23" name="Conexão reta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 bwMode="auto">
        <a:xfrm flipV="1">
          <a:off x="472774" y="3268190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14</xdr:row>
      <xdr:rowOff>7879</xdr:rowOff>
    </xdr:from>
    <xdr:to>
      <xdr:col>6</xdr:col>
      <xdr:colOff>730704</xdr:colOff>
      <xdr:row>14</xdr:row>
      <xdr:rowOff>8374</xdr:rowOff>
    </xdr:to>
    <xdr:cxnSp macro="">
      <xdr:nvCxnSpPr>
        <xdr:cNvPr id="203" name="Conexão reta 202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CxnSpPr/>
      </xdr:nvCxnSpPr>
      <xdr:spPr bwMode="auto">
        <a:xfrm flipV="1">
          <a:off x="472774" y="2673687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15</xdr:row>
      <xdr:rowOff>5336</xdr:rowOff>
    </xdr:from>
    <xdr:to>
      <xdr:col>6</xdr:col>
      <xdr:colOff>730704</xdr:colOff>
      <xdr:row>15</xdr:row>
      <xdr:rowOff>5831</xdr:rowOff>
    </xdr:to>
    <xdr:cxnSp macro="">
      <xdr:nvCxnSpPr>
        <xdr:cNvPr id="204" name="Conexão reta 203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CxnSpPr/>
      </xdr:nvCxnSpPr>
      <xdr:spPr bwMode="auto">
        <a:xfrm flipV="1">
          <a:off x="472774" y="2857870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16</xdr:row>
      <xdr:rowOff>2795</xdr:rowOff>
    </xdr:from>
    <xdr:to>
      <xdr:col>6</xdr:col>
      <xdr:colOff>730704</xdr:colOff>
      <xdr:row>16</xdr:row>
      <xdr:rowOff>3290</xdr:rowOff>
    </xdr:to>
    <xdr:cxnSp macro="">
      <xdr:nvCxnSpPr>
        <xdr:cNvPr id="205" name="Conexão reta 204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CxnSpPr/>
      </xdr:nvCxnSpPr>
      <xdr:spPr bwMode="auto">
        <a:xfrm flipV="1">
          <a:off x="472774" y="3061919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11</xdr:row>
      <xdr:rowOff>29175</xdr:rowOff>
    </xdr:from>
    <xdr:to>
      <xdr:col>6</xdr:col>
      <xdr:colOff>730704</xdr:colOff>
      <xdr:row>11</xdr:row>
      <xdr:rowOff>29670</xdr:rowOff>
    </xdr:to>
    <xdr:cxnSp macro="">
      <xdr:nvCxnSpPr>
        <xdr:cNvPr id="206" name="Conexão reta 205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CxnSpPr/>
      </xdr:nvCxnSpPr>
      <xdr:spPr bwMode="auto">
        <a:xfrm flipV="1">
          <a:off x="472774" y="2055348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12</xdr:row>
      <xdr:rowOff>18686</xdr:rowOff>
    </xdr:from>
    <xdr:to>
      <xdr:col>6</xdr:col>
      <xdr:colOff>730704</xdr:colOff>
      <xdr:row>12</xdr:row>
      <xdr:rowOff>19181</xdr:rowOff>
    </xdr:to>
    <xdr:cxnSp macro="">
      <xdr:nvCxnSpPr>
        <xdr:cNvPr id="207" name="Conexão reta 206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CxnSpPr/>
      </xdr:nvCxnSpPr>
      <xdr:spPr bwMode="auto">
        <a:xfrm flipV="1">
          <a:off x="472774" y="2251450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13</xdr:row>
      <xdr:rowOff>8200</xdr:rowOff>
    </xdr:from>
    <xdr:to>
      <xdr:col>6</xdr:col>
      <xdr:colOff>730704</xdr:colOff>
      <xdr:row>13</xdr:row>
      <xdr:rowOff>8695</xdr:rowOff>
    </xdr:to>
    <xdr:cxnSp macro="">
      <xdr:nvCxnSpPr>
        <xdr:cNvPr id="208" name="Conexão reta 20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CxnSpPr/>
      </xdr:nvCxnSpPr>
      <xdr:spPr bwMode="auto">
        <a:xfrm flipV="1">
          <a:off x="472774" y="2447553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10</xdr:row>
      <xdr:rowOff>26631</xdr:rowOff>
    </xdr:from>
    <xdr:to>
      <xdr:col>6</xdr:col>
      <xdr:colOff>730704</xdr:colOff>
      <xdr:row>10</xdr:row>
      <xdr:rowOff>27126</xdr:rowOff>
    </xdr:to>
    <xdr:cxnSp macro="">
      <xdr:nvCxnSpPr>
        <xdr:cNvPr id="209" name="Conexão reta 208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CxnSpPr/>
      </xdr:nvCxnSpPr>
      <xdr:spPr bwMode="auto">
        <a:xfrm flipV="1">
          <a:off x="472774" y="1846214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0</xdr:colOff>
      <xdr:row>9</xdr:row>
      <xdr:rowOff>36007</xdr:rowOff>
    </xdr:from>
    <xdr:to>
      <xdr:col>6</xdr:col>
      <xdr:colOff>730704</xdr:colOff>
      <xdr:row>9</xdr:row>
      <xdr:rowOff>36502</xdr:rowOff>
    </xdr:to>
    <xdr:cxnSp macro="">
      <xdr:nvCxnSpPr>
        <xdr:cNvPr id="210" name="Conexão reta 209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CxnSpPr/>
      </xdr:nvCxnSpPr>
      <xdr:spPr bwMode="auto">
        <a:xfrm flipV="1">
          <a:off x="472774" y="1649000"/>
          <a:ext cx="3257461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16</xdr:row>
      <xdr:rowOff>202551</xdr:rowOff>
    </xdr:from>
    <xdr:to>
      <xdr:col>8</xdr:col>
      <xdr:colOff>542825</xdr:colOff>
      <xdr:row>16</xdr:row>
      <xdr:rowOff>203046</xdr:rowOff>
    </xdr:to>
    <xdr:cxnSp macro="">
      <xdr:nvCxnSpPr>
        <xdr:cNvPr id="211" name="Conexão reta 210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CxnSpPr/>
      </xdr:nvCxnSpPr>
      <xdr:spPr bwMode="auto">
        <a:xfrm flipV="1">
          <a:off x="3922671" y="3261675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14</xdr:row>
      <xdr:rowOff>1364</xdr:rowOff>
    </xdr:from>
    <xdr:to>
      <xdr:col>8</xdr:col>
      <xdr:colOff>542825</xdr:colOff>
      <xdr:row>14</xdr:row>
      <xdr:rowOff>1859</xdr:rowOff>
    </xdr:to>
    <xdr:cxnSp macro="">
      <xdr:nvCxnSpPr>
        <xdr:cNvPr id="212" name="Conexão reta 211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CxnSpPr/>
      </xdr:nvCxnSpPr>
      <xdr:spPr bwMode="auto">
        <a:xfrm flipV="1">
          <a:off x="3922671" y="2667172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14</xdr:row>
      <xdr:rowOff>205411</xdr:rowOff>
    </xdr:from>
    <xdr:to>
      <xdr:col>8</xdr:col>
      <xdr:colOff>542825</xdr:colOff>
      <xdr:row>14</xdr:row>
      <xdr:rowOff>205906</xdr:rowOff>
    </xdr:to>
    <xdr:cxnSp macro="">
      <xdr:nvCxnSpPr>
        <xdr:cNvPr id="213" name="Conexão reta 21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CxnSpPr/>
      </xdr:nvCxnSpPr>
      <xdr:spPr bwMode="auto">
        <a:xfrm flipV="1">
          <a:off x="3922671" y="2851355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15</xdr:row>
      <xdr:rowOff>202870</xdr:rowOff>
    </xdr:from>
    <xdr:to>
      <xdr:col>8</xdr:col>
      <xdr:colOff>542825</xdr:colOff>
      <xdr:row>15</xdr:row>
      <xdr:rowOff>203365</xdr:rowOff>
    </xdr:to>
    <xdr:cxnSp macro="">
      <xdr:nvCxnSpPr>
        <xdr:cNvPr id="214" name="Conexão reta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 bwMode="auto">
        <a:xfrm flipV="1">
          <a:off x="3922671" y="3055404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11</xdr:row>
      <xdr:rowOff>22660</xdr:rowOff>
    </xdr:from>
    <xdr:to>
      <xdr:col>8</xdr:col>
      <xdr:colOff>542825</xdr:colOff>
      <xdr:row>11</xdr:row>
      <xdr:rowOff>23155</xdr:rowOff>
    </xdr:to>
    <xdr:cxnSp macro="">
      <xdr:nvCxnSpPr>
        <xdr:cNvPr id="215" name="Conexão reta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 bwMode="auto">
        <a:xfrm flipV="1">
          <a:off x="3922671" y="2048833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12</xdr:row>
      <xdr:rowOff>12171</xdr:rowOff>
    </xdr:from>
    <xdr:to>
      <xdr:col>8</xdr:col>
      <xdr:colOff>542825</xdr:colOff>
      <xdr:row>12</xdr:row>
      <xdr:rowOff>12666</xdr:rowOff>
    </xdr:to>
    <xdr:cxnSp macro="">
      <xdr:nvCxnSpPr>
        <xdr:cNvPr id="216" name="Conexão reta 215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CxnSpPr/>
      </xdr:nvCxnSpPr>
      <xdr:spPr bwMode="auto">
        <a:xfrm flipV="1">
          <a:off x="3922671" y="2244935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13</xdr:row>
      <xdr:rowOff>1685</xdr:rowOff>
    </xdr:from>
    <xdr:to>
      <xdr:col>8</xdr:col>
      <xdr:colOff>542825</xdr:colOff>
      <xdr:row>13</xdr:row>
      <xdr:rowOff>2180</xdr:rowOff>
    </xdr:to>
    <xdr:cxnSp macro="">
      <xdr:nvCxnSpPr>
        <xdr:cNvPr id="217" name="Conexão reta 21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CxnSpPr/>
      </xdr:nvCxnSpPr>
      <xdr:spPr bwMode="auto">
        <a:xfrm flipV="1">
          <a:off x="3922671" y="2441038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10</xdr:row>
      <xdr:rowOff>20116</xdr:rowOff>
    </xdr:from>
    <xdr:to>
      <xdr:col>8</xdr:col>
      <xdr:colOff>542825</xdr:colOff>
      <xdr:row>10</xdr:row>
      <xdr:rowOff>20611</xdr:rowOff>
    </xdr:to>
    <xdr:cxnSp macro="">
      <xdr:nvCxnSpPr>
        <xdr:cNvPr id="218" name="Conexão reta 21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CxnSpPr/>
      </xdr:nvCxnSpPr>
      <xdr:spPr bwMode="auto">
        <a:xfrm flipV="1">
          <a:off x="3922671" y="1839699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9</xdr:row>
      <xdr:rowOff>29492</xdr:rowOff>
    </xdr:from>
    <xdr:to>
      <xdr:col>8</xdr:col>
      <xdr:colOff>542825</xdr:colOff>
      <xdr:row>9</xdr:row>
      <xdr:rowOff>29987</xdr:rowOff>
    </xdr:to>
    <xdr:cxnSp macro="">
      <xdr:nvCxnSpPr>
        <xdr:cNvPr id="219" name="Conexão reta 218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CxnSpPr/>
      </xdr:nvCxnSpPr>
      <xdr:spPr bwMode="auto">
        <a:xfrm flipV="1">
          <a:off x="3922671" y="1642485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16</xdr:row>
      <xdr:rowOff>200009</xdr:rowOff>
    </xdr:from>
    <xdr:to>
      <xdr:col>10</xdr:col>
      <xdr:colOff>882776</xdr:colOff>
      <xdr:row>16</xdr:row>
      <xdr:rowOff>200504</xdr:rowOff>
    </xdr:to>
    <xdr:cxnSp macro="">
      <xdr:nvCxnSpPr>
        <xdr:cNvPr id="220" name="Conexão reta 219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CxnSpPr/>
      </xdr:nvCxnSpPr>
      <xdr:spPr bwMode="auto">
        <a:xfrm flipV="1">
          <a:off x="5641214" y="3259133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13</xdr:row>
      <xdr:rowOff>205412</xdr:rowOff>
    </xdr:from>
    <xdr:to>
      <xdr:col>10</xdr:col>
      <xdr:colOff>882776</xdr:colOff>
      <xdr:row>13</xdr:row>
      <xdr:rowOff>205907</xdr:rowOff>
    </xdr:to>
    <xdr:cxnSp macro="">
      <xdr:nvCxnSpPr>
        <xdr:cNvPr id="221" name="Conexão reta 220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CxnSpPr/>
      </xdr:nvCxnSpPr>
      <xdr:spPr bwMode="auto">
        <a:xfrm flipV="1">
          <a:off x="5641214" y="2664630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14</xdr:row>
      <xdr:rowOff>202869</xdr:rowOff>
    </xdr:from>
    <xdr:to>
      <xdr:col>10</xdr:col>
      <xdr:colOff>882776</xdr:colOff>
      <xdr:row>14</xdr:row>
      <xdr:rowOff>203364</xdr:rowOff>
    </xdr:to>
    <xdr:cxnSp macro="">
      <xdr:nvCxnSpPr>
        <xdr:cNvPr id="222" name="Conexão reta 221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CxnSpPr/>
      </xdr:nvCxnSpPr>
      <xdr:spPr bwMode="auto">
        <a:xfrm flipV="1">
          <a:off x="5641214" y="2848813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15</xdr:row>
      <xdr:rowOff>200328</xdr:rowOff>
    </xdr:from>
    <xdr:to>
      <xdr:col>10</xdr:col>
      <xdr:colOff>882776</xdr:colOff>
      <xdr:row>15</xdr:row>
      <xdr:rowOff>200823</xdr:rowOff>
    </xdr:to>
    <xdr:cxnSp macro="">
      <xdr:nvCxnSpPr>
        <xdr:cNvPr id="223" name="Conexão reta 222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CxnSpPr/>
      </xdr:nvCxnSpPr>
      <xdr:spPr bwMode="auto">
        <a:xfrm flipV="1">
          <a:off x="5641214" y="3052862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11</xdr:row>
      <xdr:rowOff>20118</xdr:rowOff>
    </xdr:from>
    <xdr:to>
      <xdr:col>10</xdr:col>
      <xdr:colOff>882776</xdr:colOff>
      <xdr:row>11</xdr:row>
      <xdr:rowOff>20613</xdr:rowOff>
    </xdr:to>
    <xdr:cxnSp macro="">
      <xdr:nvCxnSpPr>
        <xdr:cNvPr id="224" name="Conexão reta 223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CxnSpPr/>
      </xdr:nvCxnSpPr>
      <xdr:spPr bwMode="auto">
        <a:xfrm flipV="1">
          <a:off x="5641214" y="2046291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12</xdr:row>
      <xdr:rowOff>9629</xdr:rowOff>
    </xdr:from>
    <xdr:to>
      <xdr:col>10</xdr:col>
      <xdr:colOff>882776</xdr:colOff>
      <xdr:row>12</xdr:row>
      <xdr:rowOff>10124</xdr:rowOff>
    </xdr:to>
    <xdr:cxnSp macro="">
      <xdr:nvCxnSpPr>
        <xdr:cNvPr id="225" name="Conexão reta 22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CxnSpPr/>
      </xdr:nvCxnSpPr>
      <xdr:spPr bwMode="auto">
        <a:xfrm flipV="1">
          <a:off x="5641214" y="2242393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12</xdr:row>
      <xdr:rowOff>205732</xdr:rowOff>
    </xdr:from>
    <xdr:to>
      <xdr:col>10</xdr:col>
      <xdr:colOff>882776</xdr:colOff>
      <xdr:row>12</xdr:row>
      <xdr:rowOff>206227</xdr:rowOff>
    </xdr:to>
    <xdr:cxnSp macro="">
      <xdr:nvCxnSpPr>
        <xdr:cNvPr id="226" name="Conexão reta 225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CxnSpPr/>
      </xdr:nvCxnSpPr>
      <xdr:spPr bwMode="auto">
        <a:xfrm flipV="1">
          <a:off x="5641214" y="2438496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10</xdr:row>
      <xdr:rowOff>17574</xdr:rowOff>
    </xdr:from>
    <xdr:to>
      <xdr:col>10</xdr:col>
      <xdr:colOff>882776</xdr:colOff>
      <xdr:row>10</xdr:row>
      <xdr:rowOff>18069</xdr:rowOff>
    </xdr:to>
    <xdr:cxnSp macro="">
      <xdr:nvCxnSpPr>
        <xdr:cNvPr id="227" name="Conexão reta 22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CxnSpPr/>
      </xdr:nvCxnSpPr>
      <xdr:spPr bwMode="auto">
        <a:xfrm flipV="1">
          <a:off x="5641214" y="1837157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9</xdr:row>
      <xdr:rowOff>26950</xdr:rowOff>
    </xdr:from>
    <xdr:to>
      <xdr:col>10</xdr:col>
      <xdr:colOff>882776</xdr:colOff>
      <xdr:row>9</xdr:row>
      <xdr:rowOff>27445</xdr:rowOff>
    </xdr:to>
    <xdr:cxnSp macro="">
      <xdr:nvCxnSpPr>
        <xdr:cNvPr id="228" name="Conexão reta 22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CxnSpPr/>
      </xdr:nvCxnSpPr>
      <xdr:spPr bwMode="auto">
        <a:xfrm flipV="1">
          <a:off x="5641214" y="1639943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929368</xdr:colOff>
      <xdr:row>17</xdr:row>
      <xdr:rowOff>205413</xdr:rowOff>
    </xdr:from>
    <xdr:to>
      <xdr:col>10</xdr:col>
      <xdr:colOff>882776</xdr:colOff>
      <xdr:row>17</xdr:row>
      <xdr:rowOff>205908</xdr:rowOff>
    </xdr:to>
    <xdr:cxnSp macro="">
      <xdr:nvCxnSpPr>
        <xdr:cNvPr id="229" name="Conexão reta 228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CxnSpPr/>
      </xdr:nvCxnSpPr>
      <xdr:spPr bwMode="auto">
        <a:xfrm flipV="1">
          <a:off x="5641214" y="3471128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192129</xdr:colOff>
      <xdr:row>18</xdr:row>
      <xdr:rowOff>254</xdr:rowOff>
    </xdr:from>
    <xdr:to>
      <xdr:col>8</xdr:col>
      <xdr:colOff>542825</xdr:colOff>
      <xdr:row>18</xdr:row>
      <xdr:rowOff>749</xdr:rowOff>
    </xdr:to>
    <xdr:cxnSp macro="">
      <xdr:nvCxnSpPr>
        <xdr:cNvPr id="230" name="Conexão reta 229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CxnSpPr/>
      </xdr:nvCxnSpPr>
      <xdr:spPr bwMode="auto">
        <a:xfrm flipV="1">
          <a:off x="3922671" y="3472558"/>
          <a:ext cx="1332000" cy="495"/>
        </a:xfrm>
        <a:prstGeom prst="line">
          <a:avLst/>
        </a:prstGeom>
        <a:solidFill>
          <a:srgbClr val="FFFFFF"/>
        </a:solidFill>
        <a:ln w="6350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10</xdr:col>
      <xdr:colOff>80206</xdr:colOff>
      <xdr:row>68</xdr:row>
      <xdr:rowOff>23500</xdr:rowOff>
    </xdr:from>
    <xdr:to>
      <xdr:col>10</xdr:col>
      <xdr:colOff>514184</xdr:colOff>
      <xdr:row>70</xdr:row>
      <xdr:rowOff>129269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361" y="11869136"/>
          <a:ext cx="433978" cy="4224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121</xdr:row>
      <xdr:rowOff>114300</xdr:rowOff>
    </xdr:from>
    <xdr:to>
      <xdr:col>8</xdr:col>
      <xdr:colOff>333375</xdr:colOff>
      <xdr:row>127</xdr:row>
      <xdr:rowOff>9525</xdr:rowOff>
    </xdr:to>
    <xdr:grpSp>
      <xdr:nvGrpSpPr>
        <xdr:cNvPr id="119541" name="Group 214">
          <a:extLst>
            <a:ext uri="{FF2B5EF4-FFF2-40B4-BE49-F238E27FC236}">
              <a16:creationId xmlns:a16="http://schemas.microsoft.com/office/drawing/2014/main" id="{00000000-0008-0000-0300-0000F5D20100}"/>
            </a:ext>
          </a:extLst>
        </xdr:cNvPr>
        <xdr:cNvGrpSpPr>
          <a:grpSpLocks/>
        </xdr:cNvGrpSpPr>
      </xdr:nvGrpSpPr>
      <xdr:grpSpPr bwMode="auto">
        <a:xfrm>
          <a:off x="182831" y="19273157"/>
          <a:ext cx="4772025" cy="845251"/>
          <a:chOff x="19" y="2069"/>
          <a:chExt cx="469" cy="91"/>
        </a:xfrm>
      </xdr:grpSpPr>
      <xdr:sp macro="" textlink="">
        <xdr:nvSpPr>
          <xdr:cNvPr id="119726" name="Rectangle 90">
            <a:extLst>
              <a:ext uri="{FF2B5EF4-FFF2-40B4-BE49-F238E27FC236}">
                <a16:creationId xmlns:a16="http://schemas.microsoft.com/office/drawing/2014/main" id="{00000000-0008-0000-0300-0000AED30100}"/>
              </a:ext>
            </a:extLst>
          </xdr:cNvPr>
          <xdr:cNvSpPr>
            <a:spLocks noChangeArrowheads="1"/>
          </xdr:cNvSpPr>
        </xdr:nvSpPr>
        <xdr:spPr bwMode="auto">
          <a:xfrm>
            <a:off x="19" y="2069"/>
            <a:ext cx="6" cy="89"/>
          </a:xfrm>
          <a:prstGeom prst="rect">
            <a:avLst/>
          </a:prstGeom>
          <a:solidFill>
            <a:srgbClr val="FF6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645" name="Text Box 93">
            <a:extLst>
              <a:ext uri="{FF2B5EF4-FFF2-40B4-BE49-F238E27FC236}">
                <a16:creationId xmlns:a16="http://schemas.microsoft.com/office/drawing/2014/main" id="{00000000-0008-0000-0300-00005D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2069"/>
            <a:ext cx="469" cy="28"/>
          </a:xfrm>
          <a:prstGeom prst="rect">
            <a:avLst/>
          </a:prstGeom>
          <a:solidFill>
            <a:srgbClr val="FF66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54000" tIns="46800" rIns="54000" bIns="46800" anchor="ctr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As células de introdução de dados são identificadas do seguinte modo:</a:t>
            </a:r>
          </a:p>
        </xdr:txBody>
      </xdr:sp>
      <xdr:sp macro="" textlink="">
        <xdr:nvSpPr>
          <xdr:cNvPr id="23646" name="Text Box 94">
            <a:extLst>
              <a:ext uri="{FF2B5EF4-FFF2-40B4-BE49-F238E27FC236}">
                <a16:creationId xmlns:a16="http://schemas.microsoft.com/office/drawing/2014/main" id="{00000000-0008-0000-0300-00005E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" y="2102"/>
            <a:ext cx="433" cy="26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54000" tIns="46800" rIns="54000" bIns="46800" anchor="ctr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Verde Claro: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Células de introdução de dados de entrada ou decisões.</a:t>
            </a:r>
            <a:r>
              <a:rPr lang="pt-PT" sz="1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3647" name="Text Box 95">
            <a:extLst>
              <a:ext uri="{FF2B5EF4-FFF2-40B4-BE49-F238E27FC236}">
                <a16:creationId xmlns:a16="http://schemas.microsoft.com/office/drawing/2014/main" id="{00000000-0008-0000-0300-00005F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" y="2133"/>
            <a:ext cx="433" cy="27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54000" tIns="46800" rIns="54000" bIns="46800" anchor="ctr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Azul Claro   : 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Células de introdução de dados obtidos no desenho.</a:t>
            </a:r>
            <a:r>
              <a:rPr lang="pt-PT" sz="1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 </a:t>
            </a:r>
          </a:p>
        </xdr:txBody>
      </xdr:sp>
    </xdr:grpSp>
    <xdr:clientData/>
  </xdr:twoCellAnchor>
  <xdr:twoCellAnchor>
    <xdr:from>
      <xdr:col>9</xdr:col>
      <xdr:colOff>0</xdr:colOff>
      <xdr:row>126</xdr:row>
      <xdr:rowOff>38100</xdr:rowOff>
    </xdr:from>
    <xdr:to>
      <xdr:col>17</xdr:col>
      <xdr:colOff>190500</xdr:colOff>
      <xdr:row>130</xdr:row>
      <xdr:rowOff>47625</xdr:rowOff>
    </xdr:to>
    <xdr:sp macro="" textlink="">
      <xdr:nvSpPr>
        <xdr:cNvPr id="23660" name="Text Box 108">
          <a:extLst>
            <a:ext uri="{FF2B5EF4-FFF2-40B4-BE49-F238E27FC236}">
              <a16:creationId xmlns:a16="http://schemas.microsoft.com/office/drawing/2014/main" id="{00000000-0008-0000-0300-00006C5C0000}"/>
            </a:ext>
          </a:extLst>
        </xdr:cNvPr>
        <xdr:cNvSpPr txBox="1">
          <a:spLocks noChangeArrowheads="1"/>
        </xdr:cNvSpPr>
      </xdr:nvSpPr>
      <xdr:spPr bwMode="auto">
        <a:xfrm>
          <a:off x="4924425" y="20440650"/>
          <a:ext cx="5067300" cy="657225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Após a realização do dimensionamento da Instalação em Média Pressão na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folha com o título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Cálculo-Instalação Colectiva-MP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 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Seleccionar a folha com o título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Cálculo-Instalação Interior-BP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</a:t>
          </a:r>
        </a:p>
      </xdr:txBody>
    </xdr:sp>
    <xdr:clientData/>
  </xdr:twoCellAnchor>
  <xdr:twoCellAnchor>
    <xdr:from>
      <xdr:col>12</xdr:col>
      <xdr:colOff>209550</xdr:colOff>
      <xdr:row>130</xdr:row>
      <xdr:rowOff>133350</xdr:rowOff>
    </xdr:from>
    <xdr:to>
      <xdr:col>12</xdr:col>
      <xdr:colOff>342900</xdr:colOff>
      <xdr:row>134</xdr:row>
      <xdr:rowOff>9525</xdr:rowOff>
    </xdr:to>
    <xdr:sp macro="" textlink="">
      <xdr:nvSpPr>
        <xdr:cNvPr id="119544" name="AutoShape 109">
          <a:extLst>
            <a:ext uri="{FF2B5EF4-FFF2-40B4-BE49-F238E27FC236}">
              <a16:creationId xmlns:a16="http://schemas.microsoft.com/office/drawing/2014/main" id="{00000000-0008-0000-0300-0000F8D20100}"/>
            </a:ext>
          </a:extLst>
        </xdr:cNvPr>
        <xdr:cNvSpPr>
          <a:spLocks noChangeArrowheads="1"/>
        </xdr:cNvSpPr>
      </xdr:nvSpPr>
      <xdr:spPr bwMode="auto">
        <a:xfrm rot="5400000">
          <a:off x="6767512" y="21378863"/>
          <a:ext cx="523875" cy="133350"/>
        </a:xfrm>
        <a:prstGeom prst="homePlate">
          <a:avLst>
            <a:gd name="adj" fmla="val 100015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17</xdr:col>
      <xdr:colOff>342900</xdr:colOff>
      <xdr:row>124</xdr:row>
      <xdr:rowOff>76200</xdr:rowOff>
    </xdr:from>
    <xdr:to>
      <xdr:col>21</xdr:col>
      <xdr:colOff>561975</xdr:colOff>
      <xdr:row>133</xdr:row>
      <xdr:rowOff>47625</xdr:rowOff>
    </xdr:to>
    <xdr:sp macro="" textlink="">
      <xdr:nvSpPr>
        <xdr:cNvPr id="23662" name="Text Box 110">
          <a:extLst>
            <a:ext uri="{FF2B5EF4-FFF2-40B4-BE49-F238E27FC236}">
              <a16:creationId xmlns:a16="http://schemas.microsoft.com/office/drawing/2014/main" id="{00000000-0008-0000-0300-00006E5C0000}"/>
            </a:ext>
          </a:extLst>
        </xdr:cNvPr>
        <xdr:cNvSpPr txBox="1">
          <a:spLocks noChangeArrowheads="1"/>
        </xdr:cNvSpPr>
      </xdr:nvSpPr>
      <xdr:spPr bwMode="auto">
        <a:xfrm>
          <a:off x="10144125" y="20154900"/>
          <a:ext cx="2657475" cy="142875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As características referentes às seguintes decisões iniciais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Média Pressão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Identificação do dimensionamento,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Tipo e características do gás utilizado,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Codificação e características de cada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aparelho a gás.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São automaticamente importadas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para a folha de cálculo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Baixa Pressão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17</xdr:col>
      <xdr:colOff>333375</xdr:colOff>
      <xdr:row>134</xdr:row>
      <xdr:rowOff>76200</xdr:rowOff>
    </xdr:from>
    <xdr:to>
      <xdr:col>21</xdr:col>
      <xdr:colOff>561975</xdr:colOff>
      <xdr:row>141</xdr:row>
      <xdr:rowOff>9525</xdr:rowOff>
    </xdr:to>
    <xdr:sp macro="" textlink="">
      <xdr:nvSpPr>
        <xdr:cNvPr id="23663" name="Text Box 111">
          <a:extLst>
            <a:ext uri="{FF2B5EF4-FFF2-40B4-BE49-F238E27FC236}">
              <a16:creationId xmlns:a16="http://schemas.microsoft.com/office/drawing/2014/main" id="{00000000-0008-0000-0300-00006F5C0000}"/>
            </a:ext>
          </a:extLst>
        </xdr:cNvPr>
        <xdr:cNvSpPr txBox="1">
          <a:spLocks noChangeArrowheads="1"/>
        </xdr:cNvSpPr>
      </xdr:nvSpPr>
      <xdr:spPr bwMode="auto">
        <a:xfrm>
          <a:off x="10134600" y="21774150"/>
          <a:ext cx="2667000" cy="10668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72000" tIns="46800" rIns="72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 conceito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fogos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refere-se ao conjunto e características dos Aparelhos a Gás que equipam um determinado fogo, isto é, qual potência instalada nesse fogo (esta folha de cálculo prevê 2 tipos de fogo). </a:t>
          </a:r>
        </a:p>
      </xdr:txBody>
    </xdr:sp>
    <xdr:clientData/>
  </xdr:twoCellAnchor>
  <xdr:twoCellAnchor>
    <xdr:from>
      <xdr:col>8</xdr:col>
      <xdr:colOff>590550</xdr:colOff>
      <xdr:row>134</xdr:row>
      <xdr:rowOff>76200</xdr:rowOff>
    </xdr:from>
    <xdr:to>
      <xdr:col>17</xdr:col>
      <xdr:colOff>238125</xdr:colOff>
      <xdr:row>139</xdr:row>
      <xdr:rowOff>104775</xdr:rowOff>
    </xdr:to>
    <xdr:sp macro="" textlink="">
      <xdr:nvSpPr>
        <xdr:cNvPr id="23664" name="Text Box 112">
          <a:extLst>
            <a:ext uri="{FF2B5EF4-FFF2-40B4-BE49-F238E27FC236}">
              <a16:creationId xmlns:a16="http://schemas.microsoft.com/office/drawing/2014/main" id="{00000000-0008-0000-0300-0000705C0000}"/>
            </a:ext>
          </a:extLst>
        </xdr:cNvPr>
        <xdr:cNvSpPr txBox="1">
          <a:spLocks noChangeArrowheads="1"/>
        </xdr:cNvSpPr>
      </xdr:nvSpPr>
      <xdr:spPr bwMode="auto">
        <a:xfrm>
          <a:off x="4905375" y="21774150"/>
          <a:ext cx="5133975" cy="8382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Seleccionar no sub-grupo de fogos designados como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"Fogo tipo 1"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(ou na totalidade dos fogos no caso dos mesmos serem todos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"),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aquele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que representa a situação </a:t>
          </a:r>
          <a:r>
            <a:rPr lang="pt-PT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crítica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(mais desfavorável)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em termos de perdas de carga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ou seja, 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que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possui os troços de tubagem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com maior comprimento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12</xdr:col>
      <xdr:colOff>219075</xdr:colOff>
      <xdr:row>119</xdr:row>
      <xdr:rowOff>66675</xdr:rowOff>
    </xdr:from>
    <xdr:to>
      <xdr:col>12</xdr:col>
      <xdr:colOff>352425</xdr:colOff>
      <xdr:row>120</xdr:row>
      <xdr:rowOff>123825</xdr:rowOff>
    </xdr:to>
    <xdr:sp macro="" textlink="">
      <xdr:nvSpPr>
        <xdr:cNvPr id="119549" name="AutoShape 166">
          <a:extLst>
            <a:ext uri="{FF2B5EF4-FFF2-40B4-BE49-F238E27FC236}">
              <a16:creationId xmlns:a16="http://schemas.microsoft.com/office/drawing/2014/main" id="{00000000-0008-0000-0300-0000FDD20100}"/>
            </a:ext>
          </a:extLst>
        </xdr:cNvPr>
        <xdr:cNvSpPr>
          <a:spLocks noChangeArrowheads="1"/>
        </xdr:cNvSpPr>
      </xdr:nvSpPr>
      <xdr:spPr bwMode="auto">
        <a:xfrm rot="5400000">
          <a:off x="6929437" y="19378613"/>
          <a:ext cx="219075" cy="133350"/>
        </a:xfrm>
        <a:prstGeom prst="homePlate">
          <a:avLst>
            <a:gd name="adj" fmla="val 69175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219075</xdr:colOff>
      <xdr:row>120</xdr:row>
      <xdr:rowOff>85725</xdr:rowOff>
    </xdr:from>
    <xdr:to>
      <xdr:col>12</xdr:col>
      <xdr:colOff>352425</xdr:colOff>
      <xdr:row>122</xdr:row>
      <xdr:rowOff>19050</xdr:rowOff>
    </xdr:to>
    <xdr:sp macro="" textlink="">
      <xdr:nvSpPr>
        <xdr:cNvPr id="119550" name="AutoShape 167">
          <a:extLst>
            <a:ext uri="{FF2B5EF4-FFF2-40B4-BE49-F238E27FC236}">
              <a16:creationId xmlns:a16="http://schemas.microsoft.com/office/drawing/2014/main" id="{00000000-0008-0000-0300-0000FED20100}"/>
            </a:ext>
          </a:extLst>
        </xdr:cNvPr>
        <xdr:cNvSpPr>
          <a:spLocks noChangeArrowheads="1"/>
        </xdr:cNvSpPr>
      </xdr:nvSpPr>
      <xdr:spPr bwMode="auto">
        <a:xfrm rot="5400000">
          <a:off x="6910387" y="19578638"/>
          <a:ext cx="257175" cy="133350"/>
        </a:xfrm>
        <a:prstGeom prst="chevron">
          <a:avLst>
            <a:gd name="adj" fmla="val 48214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257175</xdr:colOff>
      <xdr:row>108</xdr:row>
      <xdr:rowOff>9525</xdr:rowOff>
    </xdr:from>
    <xdr:to>
      <xdr:col>8</xdr:col>
      <xdr:colOff>409575</xdr:colOff>
      <xdr:row>115</xdr:row>
      <xdr:rowOff>19050</xdr:rowOff>
    </xdr:to>
    <xdr:grpSp>
      <xdr:nvGrpSpPr>
        <xdr:cNvPr id="119551" name="Group 255">
          <a:extLst>
            <a:ext uri="{FF2B5EF4-FFF2-40B4-BE49-F238E27FC236}">
              <a16:creationId xmlns:a16="http://schemas.microsoft.com/office/drawing/2014/main" id="{00000000-0008-0000-0300-0000FFD20100}"/>
            </a:ext>
          </a:extLst>
        </xdr:cNvPr>
        <xdr:cNvGrpSpPr>
          <a:grpSpLocks/>
        </xdr:cNvGrpSpPr>
      </xdr:nvGrpSpPr>
      <xdr:grpSpPr bwMode="auto">
        <a:xfrm>
          <a:off x="306656" y="17109992"/>
          <a:ext cx="4724400" cy="1117889"/>
          <a:chOff x="41" y="1841"/>
          <a:chExt cx="464" cy="120"/>
        </a:xfrm>
        <a:gradFill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</xdr:grpSpPr>
      <xdr:sp macro="" textlink="">
        <xdr:nvSpPr>
          <xdr:cNvPr id="119722" name="AutoShape 79">
            <a:extLst>
              <a:ext uri="{FF2B5EF4-FFF2-40B4-BE49-F238E27FC236}">
                <a16:creationId xmlns:a16="http://schemas.microsoft.com/office/drawing/2014/main" id="{00000000-0008-0000-0300-0000AAD30100}"/>
              </a:ext>
            </a:extLst>
          </xdr:cNvPr>
          <xdr:cNvSpPr>
            <a:spLocks noChangeArrowheads="1"/>
          </xdr:cNvSpPr>
        </xdr:nvSpPr>
        <xdr:spPr bwMode="auto">
          <a:xfrm>
            <a:off x="416" y="1841"/>
            <a:ext cx="89" cy="46"/>
          </a:xfrm>
          <a:prstGeom prst="homePlate">
            <a:avLst>
              <a:gd name="adj" fmla="val 48370"/>
            </a:avLst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632" name="Text Box 80">
            <a:extLst>
              <a:ext uri="{FF2B5EF4-FFF2-40B4-BE49-F238E27FC236}">
                <a16:creationId xmlns:a16="http://schemas.microsoft.com/office/drawing/2014/main" id="{00000000-0008-0000-0300-000050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" y="1841"/>
            <a:ext cx="395" cy="120"/>
          </a:xfrm>
          <a:prstGeom prst="rect">
            <a:avLst/>
          </a:prstGeom>
          <a:grpFill/>
          <a:ln w="9525">
            <a:noFill/>
            <a:miter lim="800000"/>
            <a:headEnd/>
            <a:tailEnd/>
          </a:ln>
        </xdr:spPr>
        <xdr:txBody>
          <a:bodyPr vertOverflow="clip" wrap="square" lIns="36576" tIns="27432" rIns="36576" bIns="27432" anchor="ctr" upright="1"/>
          <a:lstStyle/>
          <a:p>
            <a:pPr algn="just" rtl="0">
              <a:defRPr sz="1000"/>
            </a:pP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Passo 4 (bloco "Cálculos", análise e avaliação):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  <a:p>
            <a:pPr algn="just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Analisar em cada troço:</a:t>
            </a:r>
          </a:p>
          <a:p>
            <a:pPr algn="just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21) Conformidade da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Perda de Carga Acumulada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,</a:t>
            </a:r>
          </a:p>
          <a:p>
            <a:pPr algn="just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22) Conformidade da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Velocidade de Escoamento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,</a:t>
            </a:r>
          </a:p>
          <a:p>
            <a:pPr algn="just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23)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Redimensionar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se necessário.</a:t>
            </a:r>
          </a:p>
        </xdr:txBody>
      </xdr:sp>
    </xdr:grpSp>
    <xdr:clientData/>
  </xdr:twoCellAnchor>
  <xdr:twoCellAnchor>
    <xdr:from>
      <xdr:col>8</xdr:col>
      <xdr:colOff>476250</xdr:colOff>
      <xdr:row>107</xdr:row>
      <xdr:rowOff>95250</xdr:rowOff>
    </xdr:from>
    <xdr:to>
      <xdr:col>18</xdr:col>
      <xdr:colOff>9525</xdr:colOff>
      <xdr:row>116</xdr:row>
      <xdr:rowOff>57150</xdr:rowOff>
    </xdr:to>
    <xdr:sp macro="" textlink="">
      <xdr:nvSpPr>
        <xdr:cNvPr id="23634" name="Text Box 82">
          <a:extLst>
            <a:ext uri="{FF2B5EF4-FFF2-40B4-BE49-F238E27FC236}">
              <a16:creationId xmlns:a16="http://schemas.microsoft.com/office/drawing/2014/main" id="{00000000-0008-0000-0300-0000525C0000}"/>
            </a:ext>
          </a:extLst>
        </xdr:cNvPr>
        <xdr:cNvSpPr txBox="1">
          <a:spLocks noChangeArrowheads="1"/>
        </xdr:cNvSpPr>
      </xdr:nvSpPr>
      <xdr:spPr bwMode="auto">
        <a:xfrm>
          <a:off x="4791075" y="17421225"/>
          <a:ext cx="5629275" cy="141922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46800" rIns="72000" bIns="468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Nas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(24)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são apresentadas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perda de carga acumulada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e a respectiva avaliação da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conformidade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 troço em questão.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Nas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(25)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(26)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são apresentadas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velocidade de escoamento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m/s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e a respectiva avaliação da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conformidade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 troço em questão.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Nos troços onde se verificarem casos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não conformidade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(automaticamente assinalados pela cor </a:t>
          </a:r>
          <a:r>
            <a:rPr lang="pt-PT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vermelha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 com a mensagem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"Redimensionar"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), deve-se subir um escalão no valor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diâmetro interior normalizado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 troço em questão por consulta no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introduzindo esse novo valor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mm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na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(13)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correspondente ao novo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diâmetro imposto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</xdr:txBody>
    </xdr:sp>
    <xdr:clientData/>
  </xdr:twoCellAnchor>
  <xdr:twoCellAnchor>
    <xdr:from>
      <xdr:col>7</xdr:col>
      <xdr:colOff>152400</xdr:colOff>
      <xdr:row>32</xdr:row>
      <xdr:rowOff>95250</xdr:rowOff>
    </xdr:from>
    <xdr:to>
      <xdr:col>8</xdr:col>
      <xdr:colOff>390525</xdr:colOff>
      <xdr:row>35</xdr:row>
      <xdr:rowOff>47625</xdr:rowOff>
    </xdr:to>
    <xdr:sp macro="" textlink="">
      <xdr:nvSpPr>
        <xdr:cNvPr id="119553" name="AutoShape 3">
          <a:extLst>
            <a:ext uri="{FF2B5EF4-FFF2-40B4-BE49-F238E27FC236}">
              <a16:creationId xmlns:a16="http://schemas.microsoft.com/office/drawing/2014/main" id="{00000000-0008-0000-0300-000001D30100}"/>
            </a:ext>
          </a:extLst>
        </xdr:cNvPr>
        <xdr:cNvSpPr>
          <a:spLocks noChangeArrowheads="1"/>
        </xdr:cNvSpPr>
      </xdr:nvSpPr>
      <xdr:spPr bwMode="auto">
        <a:xfrm>
          <a:off x="3857625" y="5276850"/>
          <a:ext cx="847725" cy="438150"/>
        </a:xfrm>
        <a:prstGeom prst="homePlate">
          <a:avLst>
            <a:gd name="adj" fmla="val 48370"/>
          </a:avLst>
        </a:prstGeom>
        <a:gradFill rotWithShape="0">
          <a:gsLst>
            <a:gs pos="4100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>
          <a:noFill/>
        </a:ln>
      </xdr:spPr>
    </xdr:sp>
    <xdr:clientData/>
  </xdr:twoCellAnchor>
  <xdr:twoCellAnchor>
    <xdr:from>
      <xdr:col>1</xdr:col>
      <xdr:colOff>238125</xdr:colOff>
      <xdr:row>32</xdr:row>
      <xdr:rowOff>95250</xdr:rowOff>
    </xdr:from>
    <xdr:to>
      <xdr:col>7</xdr:col>
      <xdr:colOff>342900</xdr:colOff>
      <xdr:row>57</xdr:row>
      <xdr:rowOff>28575</xdr:rowOff>
    </xdr:to>
    <xdr:sp macro="" textlink="">
      <xdr:nvSpPr>
        <xdr:cNvPr id="23556" name="Text Box 4">
          <a:extLst>
            <a:ext uri="{FF2B5EF4-FFF2-40B4-BE49-F238E27FC236}">
              <a16:creationId xmlns:a16="http://schemas.microsoft.com/office/drawing/2014/main" id="{00000000-0008-0000-0300-0000045C0000}"/>
            </a:ext>
          </a:extLst>
        </xdr:cNvPr>
        <xdr:cNvSpPr txBox="1">
          <a:spLocks noChangeArrowheads="1"/>
        </xdr:cNvSpPr>
      </xdr:nvSpPr>
      <xdr:spPr bwMode="auto">
        <a:xfrm>
          <a:off x="285750" y="5276850"/>
          <a:ext cx="3762375" cy="3981450"/>
        </a:xfrm>
        <a:prstGeom prst="rect">
          <a:avLst/>
        </a:prstGeom>
        <a:gradFill rotWithShape="0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Passo 1 (bloco "</a:t>
          </a: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Características e Especificações</a:t>
          </a: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"):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Especificar: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1) o tipo de gás a utilizar,</a:t>
          </a:r>
        </a:p>
        <a:p>
          <a:pPr algn="l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- Especificar, se necessário, o seguinte: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2) Poder calorífico inferior,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3) Densidade relativa,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4) Densidade corrigida,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5) Massa volúmica,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6) Pressão de abastecimento em média pressão,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7 ) Perda de carga admissível em média pressão,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8) Velocidade admissível em média pressão,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9) Nível das perdas de carga locais,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10) Valor da pressão atmosférica,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11) Se a concessionária é a EDP Gás,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12) Prever capacidade para aquecimento ambiente,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13) Expressar as pressões em "kPa",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14) Usar um formulário alternativo com maior exactidão.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15) Impor simultaneidade total. 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Nota: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Por defeito, assume os valores correntemente utilizados de acordo com o tipo de gás.</a:t>
          </a:r>
          <a:endParaRPr lang="pt-PT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571501</xdr:colOff>
      <xdr:row>13</xdr:row>
      <xdr:rowOff>0</xdr:rowOff>
    </xdr:from>
    <xdr:to>
      <xdr:col>21</xdr:col>
      <xdr:colOff>81643</xdr:colOff>
      <xdr:row>18</xdr:row>
      <xdr:rowOff>152400</xdr:rowOff>
    </xdr:to>
    <xdr:sp macro="" textlink="">
      <xdr:nvSpPr>
        <xdr:cNvPr id="23557" name="Text Box 5">
          <a:extLst>
            <a:ext uri="{FF2B5EF4-FFF2-40B4-BE49-F238E27FC236}">
              <a16:creationId xmlns:a16="http://schemas.microsoft.com/office/drawing/2014/main" id="{00000000-0008-0000-0300-0000055C0000}"/>
            </a:ext>
          </a:extLst>
        </xdr:cNvPr>
        <xdr:cNvSpPr txBox="1">
          <a:spLocks noChangeArrowheads="1"/>
        </xdr:cNvSpPr>
      </xdr:nvSpPr>
      <xdr:spPr bwMode="auto">
        <a:xfrm>
          <a:off x="10417630" y="2051957"/>
          <a:ext cx="2775856" cy="941614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Características e Especificações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": Há a possibilidade de directamente se especificar o tipo de gás a ser utilizado, isto é,  efectuar o dimensionamento para Gás Natural (GN), Propano (GPL) ou Gás de Cidade (GC).</a:t>
          </a:r>
        </a:p>
      </xdr:txBody>
    </xdr:sp>
    <xdr:clientData/>
  </xdr:twoCellAnchor>
  <xdr:twoCellAnchor>
    <xdr:from>
      <xdr:col>12</xdr:col>
      <xdr:colOff>238125</xdr:colOff>
      <xdr:row>58</xdr:row>
      <xdr:rowOff>76200</xdr:rowOff>
    </xdr:from>
    <xdr:to>
      <xdr:col>12</xdr:col>
      <xdr:colOff>371475</xdr:colOff>
      <xdr:row>60</xdr:row>
      <xdr:rowOff>38100</xdr:rowOff>
    </xdr:to>
    <xdr:grpSp>
      <xdr:nvGrpSpPr>
        <xdr:cNvPr id="119556" name="Group 224">
          <a:extLst>
            <a:ext uri="{FF2B5EF4-FFF2-40B4-BE49-F238E27FC236}">
              <a16:creationId xmlns:a16="http://schemas.microsoft.com/office/drawing/2014/main" id="{00000000-0008-0000-0300-000004D30100}"/>
            </a:ext>
          </a:extLst>
        </xdr:cNvPr>
        <xdr:cNvGrpSpPr>
          <a:grpSpLocks/>
        </xdr:cNvGrpSpPr>
      </xdr:nvGrpSpPr>
      <xdr:grpSpPr bwMode="auto">
        <a:xfrm>
          <a:off x="7472177" y="9259785"/>
          <a:ext cx="133350" cy="278575"/>
          <a:chOff x="777" y="832"/>
          <a:chExt cx="14" cy="38"/>
        </a:xfrm>
      </xdr:grpSpPr>
      <xdr:sp macro="" textlink="">
        <xdr:nvSpPr>
          <xdr:cNvPr id="119720" name="AutoShape 225">
            <a:extLst>
              <a:ext uri="{FF2B5EF4-FFF2-40B4-BE49-F238E27FC236}">
                <a16:creationId xmlns:a16="http://schemas.microsoft.com/office/drawing/2014/main" id="{00000000-0008-0000-0300-0000A8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721" name="AutoShape 226">
            <a:extLst>
              <a:ext uri="{FF2B5EF4-FFF2-40B4-BE49-F238E27FC236}">
                <a16:creationId xmlns:a16="http://schemas.microsoft.com/office/drawing/2014/main" id="{00000000-0008-0000-0300-0000A9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304800</xdr:colOff>
      <xdr:row>142</xdr:row>
      <xdr:rowOff>38100</xdr:rowOff>
    </xdr:from>
    <xdr:to>
      <xdr:col>8</xdr:col>
      <xdr:colOff>85725</xdr:colOff>
      <xdr:row>144</xdr:row>
      <xdr:rowOff>152400</xdr:rowOff>
    </xdr:to>
    <xdr:sp macro="" textlink="">
      <xdr:nvSpPr>
        <xdr:cNvPr id="119557" name="AutoShape 119">
          <a:extLst>
            <a:ext uri="{FF2B5EF4-FFF2-40B4-BE49-F238E27FC236}">
              <a16:creationId xmlns:a16="http://schemas.microsoft.com/office/drawing/2014/main" id="{00000000-0008-0000-0300-000005D30100}"/>
            </a:ext>
          </a:extLst>
        </xdr:cNvPr>
        <xdr:cNvSpPr>
          <a:spLocks noChangeArrowheads="1"/>
        </xdr:cNvSpPr>
      </xdr:nvSpPr>
      <xdr:spPr bwMode="auto">
        <a:xfrm>
          <a:off x="3400425" y="23031450"/>
          <a:ext cx="1000125" cy="438150"/>
        </a:xfrm>
        <a:prstGeom prst="homePlate">
          <a:avLst>
            <a:gd name="adj" fmla="val 57065"/>
          </a:avLst>
        </a:prstGeom>
        <a:gradFill rotWithShape="0">
          <a:gsLst>
            <a:gs pos="2500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>
          <a:noFill/>
        </a:ln>
      </xdr:spPr>
    </xdr:sp>
    <xdr:clientData/>
  </xdr:twoCellAnchor>
  <xdr:twoCellAnchor>
    <xdr:from>
      <xdr:col>1</xdr:col>
      <xdr:colOff>200025</xdr:colOff>
      <xdr:row>142</xdr:row>
      <xdr:rowOff>38100</xdr:rowOff>
    </xdr:from>
    <xdr:to>
      <xdr:col>7</xdr:col>
      <xdr:colOff>161925</xdr:colOff>
      <xdr:row>153</xdr:row>
      <xdr:rowOff>28575</xdr:rowOff>
    </xdr:to>
    <xdr:sp macro="" textlink="">
      <xdr:nvSpPr>
        <xdr:cNvPr id="23672" name="Text Box 120">
          <a:extLst>
            <a:ext uri="{FF2B5EF4-FFF2-40B4-BE49-F238E27FC236}">
              <a16:creationId xmlns:a16="http://schemas.microsoft.com/office/drawing/2014/main" id="{00000000-0008-0000-0300-0000785C0000}"/>
            </a:ext>
          </a:extLst>
        </xdr:cNvPr>
        <xdr:cNvSpPr txBox="1">
          <a:spLocks noChangeArrowheads="1"/>
        </xdr:cNvSpPr>
      </xdr:nvSpPr>
      <xdr:spPr bwMode="auto">
        <a:xfrm>
          <a:off x="247650" y="23031450"/>
          <a:ext cx="3619500" cy="1771650"/>
        </a:xfrm>
        <a:prstGeom prst="rect">
          <a:avLst/>
        </a:prstGeom>
        <a:gradFill rotWithShape="0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just" rtl="0">
            <a:lnSpc>
              <a:spcPts val="1300"/>
            </a:lnSpc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Passo 6 (bloco "Cálculos-Instalação Individual"):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Especificar: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27) O início e fim de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28) O tipo de fogo em análise,</a:t>
          </a:r>
        </a:p>
        <a:p>
          <a:pPr algn="just" rtl="0">
            <a:lnSpc>
              <a:spcPts val="1300"/>
            </a:lnSpc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29) Aparelhos a gás abastecidos por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30) Comprimento de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31)</a:t>
          </a: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Altura da cada troço.</a:t>
          </a:r>
        </a:p>
        <a:p>
          <a:pPr algn="just" rtl="0">
            <a:lnSpc>
              <a:spcPts val="1300"/>
            </a:lnSpc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32) Opcional: perdas de carga localizadas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(Quadro 4)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9</xdr:col>
      <xdr:colOff>9525</xdr:colOff>
      <xdr:row>149</xdr:row>
      <xdr:rowOff>104775</xdr:rowOff>
    </xdr:from>
    <xdr:to>
      <xdr:col>17</xdr:col>
      <xdr:colOff>276225</xdr:colOff>
      <xdr:row>172</xdr:row>
      <xdr:rowOff>19050</xdr:rowOff>
    </xdr:to>
    <xdr:sp macro="" textlink="">
      <xdr:nvSpPr>
        <xdr:cNvPr id="23674" name="Text Box 122">
          <a:extLst>
            <a:ext uri="{FF2B5EF4-FFF2-40B4-BE49-F238E27FC236}">
              <a16:creationId xmlns:a16="http://schemas.microsoft.com/office/drawing/2014/main" id="{00000000-0008-0000-0300-00007A5C0000}"/>
            </a:ext>
          </a:extLst>
        </xdr:cNvPr>
        <xdr:cNvSpPr txBox="1">
          <a:spLocks noChangeArrowheads="1"/>
        </xdr:cNvSpPr>
      </xdr:nvSpPr>
      <xdr:spPr bwMode="auto">
        <a:xfrm>
          <a:off x="4933950" y="24231600"/>
          <a:ext cx="5143500" cy="3638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Cálculos / 1ª Instalação Individual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introduzir por cada linha (e unicamente nas células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azul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verde claro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as características referentes a cada troço da instalação individual a dimensionar, de forma sequencial e do início para o fim,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com o 1.º troço situado imediatamente a jusante do redutor/contador de 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Códigos identificativos (letras ou números) atribuídos ao início e fim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de cada troço.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(4)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Especificar 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tipo de 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que o troço em análise abastece (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Por defeito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assume que o fogo é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(5):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Especificar unicamente nas situações em que o troço em análise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abastece apenas 1 ou 2 aparelhos a gás,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qual o único ou um dos dois aparelho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(s)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abastecido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(s), utilizando a designação abreviada automática aplicável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ao mesmo  (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A4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A5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) para os aparelhos do fogo tipo 1 ou (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A6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A7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A8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A9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A10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) para os aparelhos do fogo tipo 2.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Coluna (6):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Especificar unicamente na situação em que o troço em análise abastece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2 aparelhos a gás,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qual o segundo dos dois aparelhos abastecidos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utilizando a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designação abreviada automática aplicável ao mesmo e acima descrita.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Coluna (7):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Comprimento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(8)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Altura ou desnível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 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 valor da altura ou desnível </a:t>
          </a:r>
        </a:p>
        <a:p>
          <a:pPr algn="l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 deve ser </a:t>
          </a: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positivo se o troço for ascendente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negativo se o troço for descendente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/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(9)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Perdas de carga locais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por consulta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4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600075</xdr:colOff>
      <xdr:row>143</xdr:row>
      <xdr:rowOff>57150</xdr:rowOff>
    </xdr:from>
    <xdr:to>
      <xdr:col>17</xdr:col>
      <xdr:colOff>257175</xdr:colOff>
      <xdr:row>147</xdr:row>
      <xdr:rowOff>0</xdr:rowOff>
    </xdr:to>
    <xdr:sp macro="" textlink="">
      <xdr:nvSpPr>
        <xdr:cNvPr id="23675" name="Text Box 123">
          <a:extLst>
            <a:ext uri="{FF2B5EF4-FFF2-40B4-BE49-F238E27FC236}">
              <a16:creationId xmlns:a16="http://schemas.microsoft.com/office/drawing/2014/main" id="{00000000-0008-0000-0300-00007B5C0000}"/>
            </a:ext>
          </a:extLst>
        </xdr:cNvPr>
        <xdr:cNvSpPr txBox="1">
          <a:spLocks noChangeArrowheads="1"/>
        </xdr:cNvSpPr>
      </xdr:nvSpPr>
      <xdr:spPr bwMode="auto">
        <a:xfrm>
          <a:off x="4914900" y="23212425"/>
          <a:ext cx="5143500" cy="590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desenho da Instalação individual do "Fogo tipo 1" </a:t>
          </a:r>
          <a:r>
            <a:rPr lang="pt-PT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crítico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 dimensionar, codificar ou numerar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sequencialmente, a partir do redutor/contador de fogo inclusivé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todos os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válvulas de corte dos aparelhos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(por ex.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B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etc.).</a:t>
          </a:r>
        </a:p>
      </xdr:txBody>
    </xdr:sp>
    <xdr:clientData/>
  </xdr:twoCellAnchor>
  <xdr:twoCellAnchor>
    <xdr:from>
      <xdr:col>12</xdr:col>
      <xdr:colOff>200025</xdr:colOff>
      <xdr:row>147</xdr:row>
      <xdr:rowOff>38100</xdr:rowOff>
    </xdr:from>
    <xdr:to>
      <xdr:col>12</xdr:col>
      <xdr:colOff>333375</xdr:colOff>
      <xdr:row>149</xdr:row>
      <xdr:rowOff>76200</xdr:rowOff>
    </xdr:to>
    <xdr:grpSp>
      <xdr:nvGrpSpPr>
        <xdr:cNvPr id="119561" name="Group 124">
          <a:extLst>
            <a:ext uri="{FF2B5EF4-FFF2-40B4-BE49-F238E27FC236}">
              <a16:creationId xmlns:a16="http://schemas.microsoft.com/office/drawing/2014/main" id="{00000000-0008-0000-0300-000009D30100}"/>
            </a:ext>
          </a:extLst>
        </xdr:cNvPr>
        <xdr:cNvGrpSpPr>
          <a:grpSpLocks/>
        </xdr:cNvGrpSpPr>
      </xdr:nvGrpSpPr>
      <xdr:grpSpPr bwMode="auto">
        <a:xfrm>
          <a:off x="7434077" y="23313736"/>
          <a:ext cx="133350" cy="354776"/>
          <a:chOff x="777" y="832"/>
          <a:chExt cx="14" cy="38"/>
        </a:xfrm>
      </xdr:grpSpPr>
      <xdr:sp macro="" textlink="">
        <xdr:nvSpPr>
          <xdr:cNvPr id="119718" name="AutoShape 125">
            <a:extLst>
              <a:ext uri="{FF2B5EF4-FFF2-40B4-BE49-F238E27FC236}">
                <a16:creationId xmlns:a16="http://schemas.microsoft.com/office/drawing/2014/main" id="{00000000-0008-0000-0300-0000A6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719" name="AutoShape 126">
            <a:extLst>
              <a:ext uri="{FF2B5EF4-FFF2-40B4-BE49-F238E27FC236}">
                <a16:creationId xmlns:a16="http://schemas.microsoft.com/office/drawing/2014/main" id="{00000000-0008-0000-0300-0000A7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17</xdr:col>
      <xdr:colOff>333375</xdr:colOff>
      <xdr:row>154</xdr:row>
      <xdr:rowOff>57150</xdr:rowOff>
    </xdr:from>
    <xdr:to>
      <xdr:col>21</xdr:col>
      <xdr:colOff>542925</xdr:colOff>
      <xdr:row>162</xdr:row>
      <xdr:rowOff>47625</xdr:rowOff>
    </xdr:to>
    <xdr:sp macro="" textlink="">
      <xdr:nvSpPr>
        <xdr:cNvPr id="23679" name="Text Box 127">
          <a:extLst>
            <a:ext uri="{FF2B5EF4-FFF2-40B4-BE49-F238E27FC236}">
              <a16:creationId xmlns:a16="http://schemas.microsoft.com/office/drawing/2014/main" id="{00000000-0008-0000-0300-00007F5C0000}"/>
            </a:ext>
          </a:extLst>
        </xdr:cNvPr>
        <xdr:cNvSpPr txBox="1">
          <a:spLocks noChangeArrowheads="1"/>
        </xdr:cNvSpPr>
      </xdr:nvSpPr>
      <xdr:spPr bwMode="auto">
        <a:xfrm>
          <a:off x="10134600" y="24993600"/>
          <a:ext cx="2647950" cy="1285875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just" rtl="0">
            <a:lnSpc>
              <a:spcPts val="1100"/>
            </a:lnSpc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Por defeito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isto é, não se especificando aparelhos nas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(5)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(6)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assume-se a situação do troço em análise abastecer mais de 2 aparelhos a gás, considerando-se automaticamente que o caudal máximo do troço 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</a:t>
          </a:r>
          <a:r>
            <a:rPr lang="pt-PT" sz="1000" b="1" i="0" u="none" strike="noStrike" baseline="-25000">
              <a:solidFill>
                <a:srgbClr val="000000"/>
              </a:solidFill>
              <a:latin typeface="Arial"/>
              <a:cs typeface="Arial"/>
            </a:rPr>
            <a:t>troço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é igual ao caudal do fogo 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</a:t>
          </a:r>
          <a:r>
            <a:rPr lang="pt-PT" sz="1000" b="1" i="0" u="none" strike="noStrike" baseline="-25000">
              <a:solidFill>
                <a:srgbClr val="000000"/>
              </a:solidFill>
              <a:latin typeface="Arial"/>
              <a:cs typeface="Arial"/>
            </a:rPr>
            <a:t>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 </a:t>
          </a:r>
        </a:p>
      </xdr:txBody>
    </xdr:sp>
    <xdr:clientData/>
  </xdr:twoCellAnchor>
  <xdr:twoCellAnchor>
    <xdr:from>
      <xdr:col>17</xdr:col>
      <xdr:colOff>333375</xdr:colOff>
      <xdr:row>143</xdr:row>
      <xdr:rowOff>57150</xdr:rowOff>
    </xdr:from>
    <xdr:to>
      <xdr:col>21</xdr:col>
      <xdr:colOff>542925</xdr:colOff>
      <xdr:row>153</xdr:row>
      <xdr:rowOff>142875</xdr:rowOff>
    </xdr:to>
    <xdr:sp macro="" textlink="">
      <xdr:nvSpPr>
        <xdr:cNvPr id="23680" name="Text Box 128">
          <a:extLst>
            <a:ext uri="{FF2B5EF4-FFF2-40B4-BE49-F238E27FC236}">
              <a16:creationId xmlns:a16="http://schemas.microsoft.com/office/drawing/2014/main" id="{00000000-0008-0000-0300-0000805C0000}"/>
            </a:ext>
          </a:extLst>
        </xdr:cNvPr>
        <xdr:cNvSpPr txBox="1">
          <a:spLocks noChangeArrowheads="1"/>
        </xdr:cNvSpPr>
      </xdr:nvSpPr>
      <xdr:spPr bwMode="auto">
        <a:xfrm>
          <a:off x="10134600" y="23212425"/>
          <a:ext cx="2647950" cy="1704975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72000" tIns="46800" rIns="72000" bIns="46800" anchor="t" upright="1"/>
        <a:lstStyle/>
        <a:p>
          <a:pPr algn="l" rtl="0">
            <a:lnSpc>
              <a:spcPts val="1100"/>
            </a:lnSpc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Ponto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derivação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 uma tubagem.</a:t>
          </a:r>
        </a:p>
        <a:p>
          <a:pPr algn="l" rtl="0">
            <a:lnSpc>
              <a:spcPts val="11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Troço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de tubagem - Tubagem situada entre: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Dois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Um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redutor/contador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um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(ou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válvula de corte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 um aparelho, caso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não exista Nó).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uma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válvula de corte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de um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aparelho.</a:t>
          </a:r>
        </a:p>
      </xdr:txBody>
    </xdr:sp>
    <xdr:clientData/>
  </xdr:twoCellAnchor>
  <xdr:twoCellAnchor>
    <xdr:from>
      <xdr:col>12</xdr:col>
      <xdr:colOff>200025</xdr:colOff>
      <xdr:row>172</xdr:row>
      <xdr:rowOff>28575</xdr:rowOff>
    </xdr:from>
    <xdr:to>
      <xdr:col>12</xdr:col>
      <xdr:colOff>333375</xdr:colOff>
      <xdr:row>174</xdr:row>
      <xdr:rowOff>66675</xdr:rowOff>
    </xdr:to>
    <xdr:grpSp>
      <xdr:nvGrpSpPr>
        <xdr:cNvPr id="119564" name="Group 129">
          <a:extLst>
            <a:ext uri="{FF2B5EF4-FFF2-40B4-BE49-F238E27FC236}">
              <a16:creationId xmlns:a16="http://schemas.microsoft.com/office/drawing/2014/main" id="{00000000-0008-0000-0300-00000CD30100}"/>
            </a:ext>
          </a:extLst>
        </xdr:cNvPr>
        <xdr:cNvGrpSpPr>
          <a:grpSpLocks/>
        </xdr:cNvGrpSpPr>
      </xdr:nvGrpSpPr>
      <xdr:grpSpPr bwMode="auto">
        <a:xfrm>
          <a:off x="7434077" y="27262653"/>
          <a:ext cx="133350" cy="354776"/>
          <a:chOff x="777" y="832"/>
          <a:chExt cx="14" cy="38"/>
        </a:xfrm>
      </xdr:grpSpPr>
      <xdr:sp macro="" textlink="">
        <xdr:nvSpPr>
          <xdr:cNvPr id="119716" name="AutoShape 130">
            <a:extLst>
              <a:ext uri="{FF2B5EF4-FFF2-40B4-BE49-F238E27FC236}">
                <a16:creationId xmlns:a16="http://schemas.microsoft.com/office/drawing/2014/main" id="{00000000-0008-0000-0300-0000A4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717" name="AutoShape 131">
            <a:extLst>
              <a:ext uri="{FF2B5EF4-FFF2-40B4-BE49-F238E27FC236}">
                <a16:creationId xmlns:a16="http://schemas.microsoft.com/office/drawing/2014/main" id="{00000000-0008-0000-0300-0000A5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9525</xdr:colOff>
      <xdr:row>174</xdr:row>
      <xdr:rowOff>85725</xdr:rowOff>
    </xdr:from>
    <xdr:to>
      <xdr:col>17</xdr:col>
      <xdr:colOff>276225</xdr:colOff>
      <xdr:row>177</xdr:row>
      <xdr:rowOff>38100</xdr:rowOff>
    </xdr:to>
    <xdr:sp macro="" textlink="">
      <xdr:nvSpPr>
        <xdr:cNvPr id="23684" name="Text Box 132">
          <a:extLst>
            <a:ext uri="{FF2B5EF4-FFF2-40B4-BE49-F238E27FC236}">
              <a16:creationId xmlns:a16="http://schemas.microsoft.com/office/drawing/2014/main" id="{00000000-0008-0000-0300-0000845C0000}"/>
            </a:ext>
          </a:extLst>
        </xdr:cNvPr>
        <xdr:cNvSpPr txBox="1">
          <a:spLocks noChangeArrowheads="1"/>
        </xdr:cNvSpPr>
      </xdr:nvSpPr>
      <xdr:spPr bwMode="auto">
        <a:xfrm>
          <a:off x="4933950" y="28260675"/>
          <a:ext cx="5143500" cy="4381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46800" rIns="72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 aplicável, continuar a introdução das características no bloco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Cálculos / 2ª Instalação Individual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de forma similar à fase anterior. </a:t>
          </a:r>
        </a:p>
      </xdr:txBody>
    </xdr:sp>
    <xdr:clientData/>
  </xdr:twoCellAnchor>
  <xdr:twoCellAnchor>
    <xdr:from>
      <xdr:col>12</xdr:col>
      <xdr:colOff>200025</xdr:colOff>
      <xdr:row>177</xdr:row>
      <xdr:rowOff>76200</xdr:rowOff>
    </xdr:from>
    <xdr:to>
      <xdr:col>12</xdr:col>
      <xdr:colOff>333375</xdr:colOff>
      <xdr:row>179</xdr:row>
      <xdr:rowOff>57150</xdr:rowOff>
    </xdr:to>
    <xdr:grpSp>
      <xdr:nvGrpSpPr>
        <xdr:cNvPr id="119566" name="Group 133">
          <a:extLst>
            <a:ext uri="{FF2B5EF4-FFF2-40B4-BE49-F238E27FC236}">
              <a16:creationId xmlns:a16="http://schemas.microsoft.com/office/drawing/2014/main" id="{00000000-0008-0000-0300-00000ED30100}"/>
            </a:ext>
          </a:extLst>
        </xdr:cNvPr>
        <xdr:cNvGrpSpPr>
          <a:grpSpLocks/>
        </xdr:cNvGrpSpPr>
      </xdr:nvGrpSpPr>
      <xdr:grpSpPr bwMode="auto">
        <a:xfrm>
          <a:off x="7434077" y="28101966"/>
          <a:ext cx="133350" cy="297626"/>
          <a:chOff x="777" y="832"/>
          <a:chExt cx="14" cy="38"/>
        </a:xfrm>
      </xdr:grpSpPr>
      <xdr:sp macro="" textlink="">
        <xdr:nvSpPr>
          <xdr:cNvPr id="119714" name="AutoShape 134">
            <a:extLst>
              <a:ext uri="{FF2B5EF4-FFF2-40B4-BE49-F238E27FC236}">
                <a16:creationId xmlns:a16="http://schemas.microsoft.com/office/drawing/2014/main" id="{00000000-0008-0000-0300-0000A2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715" name="AutoShape 135">
            <a:extLst>
              <a:ext uri="{FF2B5EF4-FFF2-40B4-BE49-F238E27FC236}">
                <a16:creationId xmlns:a16="http://schemas.microsoft.com/office/drawing/2014/main" id="{00000000-0008-0000-0300-0000A3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7</xdr:col>
      <xdr:colOff>533400</xdr:colOff>
      <xdr:row>183</xdr:row>
      <xdr:rowOff>123825</xdr:rowOff>
    </xdr:from>
    <xdr:to>
      <xdr:col>8</xdr:col>
      <xdr:colOff>200025</xdr:colOff>
      <xdr:row>184</xdr:row>
      <xdr:rowOff>104775</xdr:rowOff>
    </xdr:to>
    <xdr:sp macro="" textlink="">
      <xdr:nvSpPr>
        <xdr:cNvPr id="119567" name="Rectangle 137">
          <a:extLst>
            <a:ext uri="{FF2B5EF4-FFF2-40B4-BE49-F238E27FC236}">
              <a16:creationId xmlns:a16="http://schemas.microsoft.com/office/drawing/2014/main" id="{00000000-0008-0000-0300-00000FD30100}"/>
            </a:ext>
          </a:extLst>
        </xdr:cNvPr>
        <xdr:cNvSpPr>
          <a:spLocks noChangeArrowheads="1"/>
        </xdr:cNvSpPr>
      </xdr:nvSpPr>
      <xdr:spPr bwMode="auto">
        <a:xfrm>
          <a:off x="4238625" y="29756100"/>
          <a:ext cx="276225" cy="14287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228600</xdr:colOff>
      <xdr:row>183</xdr:row>
      <xdr:rowOff>123825</xdr:rowOff>
    </xdr:from>
    <xdr:to>
      <xdr:col>8</xdr:col>
      <xdr:colOff>571500</xdr:colOff>
      <xdr:row>184</xdr:row>
      <xdr:rowOff>104775</xdr:rowOff>
    </xdr:to>
    <xdr:sp macro="" textlink="">
      <xdr:nvSpPr>
        <xdr:cNvPr id="119568" name="AutoShape 138">
          <a:extLst>
            <a:ext uri="{FF2B5EF4-FFF2-40B4-BE49-F238E27FC236}">
              <a16:creationId xmlns:a16="http://schemas.microsoft.com/office/drawing/2014/main" id="{00000000-0008-0000-0300-000010D30100}"/>
            </a:ext>
          </a:extLst>
        </xdr:cNvPr>
        <xdr:cNvSpPr>
          <a:spLocks noChangeArrowheads="1"/>
        </xdr:cNvSpPr>
      </xdr:nvSpPr>
      <xdr:spPr bwMode="auto">
        <a:xfrm rot="10738461">
          <a:off x="4543425" y="29756100"/>
          <a:ext cx="342900" cy="142875"/>
        </a:xfrm>
        <a:prstGeom prst="homePlate">
          <a:avLst>
            <a:gd name="adj" fmla="val 93344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523875</xdr:colOff>
      <xdr:row>182</xdr:row>
      <xdr:rowOff>114300</xdr:rowOff>
    </xdr:from>
    <xdr:to>
      <xdr:col>8</xdr:col>
      <xdr:colOff>47625</xdr:colOff>
      <xdr:row>184</xdr:row>
      <xdr:rowOff>95250</xdr:rowOff>
    </xdr:to>
    <xdr:sp macro="" textlink="">
      <xdr:nvSpPr>
        <xdr:cNvPr id="119569" name="AutoShape 139">
          <a:extLst>
            <a:ext uri="{FF2B5EF4-FFF2-40B4-BE49-F238E27FC236}">
              <a16:creationId xmlns:a16="http://schemas.microsoft.com/office/drawing/2014/main" id="{00000000-0008-0000-0300-000011D30100}"/>
            </a:ext>
          </a:extLst>
        </xdr:cNvPr>
        <xdr:cNvSpPr>
          <a:spLocks noChangeArrowheads="1"/>
        </xdr:cNvSpPr>
      </xdr:nvSpPr>
      <xdr:spPr bwMode="auto">
        <a:xfrm rot="-5316749">
          <a:off x="4143375" y="29670375"/>
          <a:ext cx="304800" cy="133350"/>
        </a:xfrm>
        <a:prstGeom prst="homePlate">
          <a:avLst>
            <a:gd name="adj" fmla="val 8889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514350</xdr:colOff>
      <xdr:row>177</xdr:row>
      <xdr:rowOff>47625</xdr:rowOff>
    </xdr:from>
    <xdr:to>
      <xdr:col>8</xdr:col>
      <xdr:colOff>28575</xdr:colOff>
      <xdr:row>182</xdr:row>
      <xdr:rowOff>47625</xdr:rowOff>
    </xdr:to>
    <xdr:sp macro="" textlink="">
      <xdr:nvSpPr>
        <xdr:cNvPr id="119570" name="Rectangle 140">
          <a:extLst>
            <a:ext uri="{FF2B5EF4-FFF2-40B4-BE49-F238E27FC236}">
              <a16:creationId xmlns:a16="http://schemas.microsoft.com/office/drawing/2014/main" id="{00000000-0008-0000-0300-000012D30100}"/>
            </a:ext>
          </a:extLst>
        </xdr:cNvPr>
        <xdr:cNvSpPr>
          <a:spLocks noChangeArrowheads="1"/>
        </xdr:cNvSpPr>
      </xdr:nvSpPr>
      <xdr:spPr bwMode="auto">
        <a:xfrm>
          <a:off x="4219575" y="28708350"/>
          <a:ext cx="123825" cy="80962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514350</xdr:colOff>
      <xdr:row>162</xdr:row>
      <xdr:rowOff>9525</xdr:rowOff>
    </xdr:from>
    <xdr:to>
      <xdr:col>8</xdr:col>
      <xdr:colOff>38100</xdr:colOff>
      <xdr:row>163</xdr:row>
      <xdr:rowOff>133350</xdr:rowOff>
    </xdr:to>
    <xdr:sp macro="" textlink="">
      <xdr:nvSpPr>
        <xdr:cNvPr id="119571" name="AutoShape 141">
          <a:extLst>
            <a:ext uri="{FF2B5EF4-FFF2-40B4-BE49-F238E27FC236}">
              <a16:creationId xmlns:a16="http://schemas.microsoft.com/office/drawing/2014/main" id="{00000000-0008-0000-0300-000013D30100}"/>
            </a:ext>
          </a:extLst>
        </xdr:cNvPr>
        <xdr:cNvSpPr>
          <a:spLocks noChangeArrowheads="1"/>
        </xdr:cNvSpPr>
      </xdr:nvSpPr>
      <xdr:spPr bwMode="auto">
        <a:xfrm rot="-5316749">
          <a:off x="4143375" y="26317575"/>
          <a:ext cx="285750" cy="133350"/>
        </a:xfrm>
        <a:prstGeom prst="homePlate">
          <a:avLst>
            <a:gd name="adj" fmla="val 83343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504825</xdr:colOff>
      <xdr:row>145</xdr:row>
      <xdr:rowOff>9525</xdr:rowOff>
    </xdr:from>
    <xdr:to>
      <xdr:col>8</xdr:col>
      <xdr:colOff>28575</xdr:colOff>
      <xdr:row>156</xdr:row>
      <xdr:rowOff>19050</xdr:rowOff>
    </xdr:to>
    <xdr:sp macro="" textlink="">
      <xdr:nvSpPr>
        <xdr:cNvPr id="119572" name="Rectangle 142">
          <a:extLst>
            <a:ext uri="{FF2B5EF4-FFF2-40B4-BE49-F238E27FC236}">
              <a16:creationId xmlns:a16="http://schemas.microsoft.com/office/drawing/2014/main" id="{00000000-0008-0000-0300-000014D30100}"/>
            </a:ext>
          </a:extLst>
        </xdr:cNvPr>
        <xdr:cNvSpPr>
          <a:spLocks noChangeArrowheads="1"/>
        </xdr:cNvSpPr>
      </xdr:nvSpPr>
      <xdr:spPr bwMode="auto">
        <a:xfrm>
          <a:off x="4210050" y="23488650"/>
          <a:ext cx="133350" cy="179070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504825</xdr:colOff>
      <xdr:row>145</xdr:row>
      <xdr:rowOff>9525</xdr:rowOff>
    </xdr:from>
    <xdr:to>
      <xdr:col>8</xdr:col>
      <xdr:colOff>257175</xdr:colOff>
      <xdr:row>146</xdr:row>
      <xdr:rowOff>9525</xdr:rowOff>
    </xdr:to>
    <xdr:sp macro="" textlink="">
      <xdr:nvSpPr>
        <xdr:cNvPr id="119573" name="Rectangle 143">
          <a:extLst>
            <a:ext uri="{FF2B5EF4-FFF2-40B4-BE49-F238E27FC236}">
              <a16:creationId xmlns:a16="http://schemas.microsoft.com/office/drawing/2014/main" id="{00000000-0008-0000-0300-000015D30100}"/>
            </a:ext>
          </a:extLst>
        </xdr:cNvPr>
        <xdr:cNvSpPr>
          <a:spLocks noChangeArrowheads="1"/>
        </xdr:cNvSpPr>
      </xdr:nvSpPr>
      <xdr:spPr bwMode="auto">
        <a:xfrm>
          <a:off x="4210050" y="23488650"/>
          <a:ext cx="361950" cy="16192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285750</xdr:colOff>
      <xdr:row>145</xdr:row>
      <xdr:rowOff>9525</xdr:rowOff>
    </xdr:from>
    <xdr:to>
      <xdr:col>8</xdr:col>
      <xdr:colOff>571500</xdr:colOff>
      <xdr:row>146</xdr:row>
      <xdr:rowOff>0</xdr:rowOff>
    </xdr:to>
    <xdr:sp macro="" textlink="">
      <xdr:nvSpPr>
        <xdr:cNvPr id="119574" name="AutoShape 144">
          <a:extLst>
            <a:ext uri="{FF2B5EF4-FFF2-40B4-BE49-F238E27FC236}">
              <a16:creationId xmlns:a16="http://schemas.microsoft.com/office/drawing/2014/main" id="{00000000-0008-0000-0300-000016D30100}"/>
            </a:ext>
          </a:extLst>
        </xdr:cNvPr>
        <xdr:cNvSpPr>
          <a:spLocks noChangeArrowheads="1"/>
        </xdr:cNvSpPr>
      </xdr:nvSpPr>
      <xdr:spPr bwMode="auto">
        <a:xfrm rot="-25847">
          <a:off x="4600575" y="23488650"/>
          <a:ext cx="285750" cy="152400"/>
        </a:xfrm>
        <a:prstGeom prst="homePlate">
          <a:avLst>
            <a:gd name="adj" fmla="val 72925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457200</xdr:colOff>
      <xdr:row>155</xdr:row>
      <xdr:rowOff>76200</xdr:rowOff>
    </xdr:from>
    <xdr:to>
      <xdr:col>2</xdr:col>
      <xdr:colOff>9525</xdr:colOff>
      <xdr:row>177</xdr:row>
      <xdr:rowOff>47625</xdr:rowOff>
    </xdr:to>
    <xdr:sp macro="" textlink="">
      <xdr:nvSpPr>
        <xdr:cNvPr id="119575" name="Rectangle 146">
          <a:extLst>
            <a:ext uri="{FF2B5EF4-FFF2-40B4-BE49-F238E27FC236}">
              <a16:creationId xmlns:a16="http://schemas.microsoft.com/office/drawing/2014/main" id="{00000000-0008-0000-0300-000017D30100}"/>
            </a:ext>
          </a:extLst>
        </xdr:cNvPr>
        <xdr:cNvSpPr>
          <a:spLocks noChangeArrowheads="1"/>
        </xdr:cNvSpPr>
      </xdr:nvSpPr>
      <xdr:spPr bwMode="auto">
        <a:xfrm>
          <a:off x="504825" y="25174575"/>
          <a:ext cx="161925" cy="3533775"/>
        </a:xfrm>
        <a:prstGeom prst="rect">
          <a:avLst/>
        </a:prstGeom>
        <a:solidFill>
          <a:srgbClr val="EAEAE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57150</xdr:colOff>
      <xdr:row>156</xdr:row>
      <xdr:rowOff>57150</xdr:rowOff>
    </xdr:from>
    <xdr:to>
      <xdr:col>8</xdr:col>
      <xdr:colOff>457200</xdr:colOff>
      <xdr:row>161</xdr:row>
      <xdr:rowOff>142875</xdr:rowOff>
    </xdr:to>
    <xdr:sp macro="" textlink="">
      <xdr:nvSpPr>
        <xdr:cNvPr id="23699" name="Text Box 147">
          <a:extLst>
            <a:ext uri="{FF2B5EF4-FFF2-40B4-BE49-F238E27FC236}">
              <a16:creationId xmlns:a16="http://schemas.microsoft.com/office/drawing/2014/main" id="{00000000-0008-0000-0300-0000935C0000}"/>
            </a:ext>
          </a:extLst>
        </xdr:cNvPr>
        <xdr:cNvSpPr txBox="1">
          <a:spLocks noChangeArrowheads="1"/>
        </xdr:cNvSpPr>
      </xdr:nvSpPr>
      <xdr:spPr bwMode="auto">
        <a:xfrm>
          <a:off x="714375" y="25317450"/>
          <a:ext cx="4057650" cy="89535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90000" tIns="46800" rIns="90000" bIns="46800" anchor="ctr" upright="1"/>
        <a:lstStyle/>
        <a:p>
          <a:pPr algn="just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1.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Necessidade de diferenciar  um sub-grupo de Fogos designados como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"Fogo tipo 2"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então seleccionar dentro deste tipo,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aquele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que representa a situação </a:t>
          </a:r>
          <a:r>
            <a:rPr lang="pt-PT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crítica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(mais desfavorável)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em termos de perdas de carga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ou seja, o "Fogo Tipo 2" que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possui os troços de tubagem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com maior comprimento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2</xdr:col>
      <xdr:colOff>57150</xdr:colOff>
      <xdr:row>164</xdr:row>
      <xdr:rowOff>28575</xdr:rowOff>
    </xdr:from>
    <xdr:to>
      <xdr:col>8</xdr:col>
      <xdr:colOff>438150</xdr:colOff>
      <xdr:row>171</xdr:row>
      <xdr:rowOff>152400</xdr:rowOff>
    </xdr:to>
    <xdr:sp macro="" textlink="">
      <xdr:nvSpPr>
        <xdr:cNvPr id="23700" name="Text Box 148">
          <a:extLst>
            <a:ext uri="{FF2B5EF4-FFF2-40B4-BE49-F238E27FC236}">
              <a16:creationId xmlns:a16="http://schemas.microsoft.com/office/drawing/2014/main" id="{00000000-0008-0000-0300-0000945C0000}"/>
            </a:ext>
          </a:extLst>
        </xdr:cNvPr>
        <xdr:cNvSpPr txBox="1">
          <a:spLocks noChangeArrowheads="1"/>
        </xdr:cNvSpPr>
      </xdr:nvSpPr>
      <xdr:spPr bwMode="auto">
        <a:xfrm>
          <a:off x="714375" y="26584275"/>
          <a:ext cx="4038600" cy="12573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2.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Não obstante verificar-se que a totalidade dos Fogos são do mesmo tipo (sendo assim designados como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"Fogo tipo 1"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), existem dúvidas sobre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selecção daquele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que representa a situação </a:t>
          </a:r>
          <a:r>
            <a:rPr lang="pt-PT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crítica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(mais desfavorável)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em termos de perdas de carga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ou seja, o "Fogo Tipo 1" que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possui os troços de tubagem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com maior comprimento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Então seleccionar um segundo Fogo,  continuando a ser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para completar a análise.</a:t>
          </a:r>
        </a:p>
      </xdr:txBody>
    </xdr:sp>
    <xdr:clientData/>
  </xdr:twoCellAnchor>
  <xdr:twoCellAnchor>
    <xdr:from>
      <xdr:col>1</xdr:col>
      <xdr:colOff>457200</xdr:colOff>
      <xdr:row>154</xdr:row>
      <xdr:rowOff>47625</xdr:rowOff>
    </xdr:from>
    <xdr:to>
      <xdr:col>4</xdr:col>
      <xdr:colOff>190500</xdr:colOff>
      <xdr:row>156</xdr:row>
      <xdr:rowOff>28575</xdr:rowOff>
    </xdr:to>
    <xdr:sp macro="" textlink="">
      <xdr:nvSpPr>
        <xdr:cNvPr id="23701" name="Text Box 149">
          <a:extLst>
            <a:ext uri="{FF2B5EF4-FFF2-40B4-BE49-F238E27FC236}">
              <a16:creationId xmlns:a16="http://schemas.microsoft.com/office/drawing/2014/main" id="{00000000-0008-0000-0300-0000955C0000}"/>
            </a:ext>
          </a:extLst>
        </xdr:cNvPr>
        <xdr:cNvSpPr txBox="1">
          <a:spLocks noChangeArrowheads="1"/>
        </xdr:cNvSpPr>
      </xdr:nvSpPr>
      <xdr:spPr bwMode="auto">
        <a:xfrm>
          <a:off x="504825" y="24984075"/>
          <a:ext cx="1562100" cy="3048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Nas situações de:</a:t>
          </a:r>
        </a:p>
        <a:p>
          <a:pPr algn="just" rtl="0">
            <a:defRPr sz="1000"/>
          </a:pPr>
          <a:endParaRPr lang="pt-PT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514350</xdr:colOff>
      <xdr:row>162</xdr:row>
      <xdr:rowOff>19050</xdr:rowOff>
    </xdr:from>
    <xdr:to>
      <xdr:col>2</xdr:col>
      <xdr:colOff>304800</xdr:colOff>
      <xdr:row>164</xdr:row>
      <xdr:rowOff>0</xdr:rowOff>
    </xdr:to>
    <xdr:sp macro="" textlink="">
      <xdr:nvSpPr>
        <xdr:cNvPr id="23702" name="Text Box 150">
          <a:extLst>
            <a:ext uri="{FF2B5EF4-FFF2-40B4-BE49-F238E27FC236}">
              <a16:creationId xmlns:a16="http://schemas.microsoft.com/office/drawing/2014/main" id="{00000000-0008-0000-0300-0000965C0000}"/>
            </a:ext>
          </a:extLst>
        </xdr:cNvPr>
        <xdr:cNvSpPr txBox="1">
          <a:spLocks noChangeArrowheads="1"/>
        </xdr:cNvSpPr>
      </xdr:nvSpPr>
      <xdr:spPr bwMode="auto">
        <a:xfrm>
          <a:off x="561975" y="26250900"/>
          <a:ext cx="400050" cy="3048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ou:</a:t>
          </a:r>
        </a:p>
        <a:p>
          <a:pPr algn="just" rtl="0">
            <a:defRPr sz="1000"/>
          </a:pPr>
          <a:endParaRPr lang="pt-PT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542925</xdr:colOff>
      <xdr:row>172</xdr:row>
      <xdr:rowOff>19050</xdr:rowOff>
    </xdr:from>
    <xdr:to>
      <xdr:col>3</xdr:col>
      <xdr:colOff>152400</xdr:colOff>
      <xdr:row>174</xdr:row>
      <xdr:rowOff>0</xdr:rowOff>
    </xdr:to>
    <xdr:sp macro="" textlink="">
      <xdr:nvSpPr>
        <xdr:cNvPr id="23703" name="Text Box 151">
          <a:extLst>
            <a:ext uri="{FF2B5EF4-FFF2-40B4-BE49-F238E27FC236}">
              <a16:creationId xmlns:a16="http://schemas.microsoft.com/office/drawing/2014/main" id="{00000000-0008-0000-0300-0000975C0000}"/>
            </a:ext>
          </a:extLst>
        </xdr:cNvPr>
        <xdr:cNvSpPr txBox="1">
          <a:spLocks noChangeArrowheads="1"/>
        </xdr:cNvSpPr>
      </xdr:nvSpPr>
      <xdr:spPr bwMode="auto">
        <a:xfrm>
          <a:off x="590550" y="27870150"/>
          <a:ext cx="828675" cy="304800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e utilizar:</a:t>
          </a:r>
        </a:p>
        <a:p>
          <a:pPr algn="just" rtl="0">
            <a:defRPr sz="1000"/>
          </a:pPr>
          <a:endParaRPr lang="pt-PT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57150</xdr:colOff>
      <xdr:row>174</xdr:row>
      <xdr:rowOff>47625</xdr:rowOff>
    </xdr:from>
    <xdr:to>
      <xdr:col>8</xdr:col>
      <xdr:colOff>428625</xdr:colOff>
      <xdr:row>177</xdr:row>
      <xdr:rowOff>28575</xdr:rowOff>
    </xdr:to>
    <xdr:sp macro="" textlink="">
      <xdr:nvSpPr>
        <xdr:cNvPr id="23704" name="Text Box 152">
          <a:extLst>
            <a:ext uri="{FF2B5EF4-FFF2-40B4-BE49-F238E27FC236}">
              <a16:creationId xmlns:a16="http://schemas.microsoft.com/office/drawing/2014/main" id="{00000000-0008-0000-0300-0000985C0000}"/>
            </a:ext>
          </a:extLst>
        </xdr:cNvPr>
        <xdr:cNvSpPr txBox="1">
          <a:spLocks noChangeArrowheads="1"/>
        </xdr:cNvSpPr>
      </xdr:nvSpPr>
      <xdr:spPr bwMode="auto">
        <a:xfrm>
          <a:off x="714375" y="28222575"/>
          <a:ext cx="4029075" cy="466725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 bloco de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Cálculos / 2ª Instalação Individual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para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completar o dimensionamento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mediante um procedimento análogo. </a:t>
          </a:r>
        </a:p>
      </xdr:txBody>
    </xdr:sp>
    <xdr:clientData/>
  </xdr:twoCellAnchor>
  <xdr:twoCellAnchor>
    <xdr:from>
      <xdr:col>7</xdr:col>
      <xdr:colOff>504825</xdr:colOff>
      <xdr:row>172</xdr:row>
      <xdr:rowOff>9525</xdr:rowOff>
    </xdr:from>
    <xdr:to>
      <xdr:col>8</xdr:col>
      <xdr:colOff>28575</xdr:colOff>
      <xdr:row>174</xdr:row>
      <xdr:rowOff>9525</xdr:rowOff>
    </xdr:to>
    <xdr:sp macro="" textlink="">
      <xdr:nvSpPr>
        <xdr:cNvPr id="119582" name="AutoShape 153">
          <a:extLst>
            <a:ext uri="{FF2B5EF4-FFF2-40B4-BE49-F238E27FC236}">
              <a16:creationId xmlns:a16="http://schemas.microsoft.com/office/drawing/2014/main" id="{00000000-0008-0000-0300-00001ED30100}"/>
            </a:ext>
          </a:extLst>
        </xdr:cNvPr>
        <xdr:cNvSpPr>
          <a:spLocks noChangeArrowheads="1"/>
        </xdr:cNvSpPr>
      </xdr:nvSpPr>
      <xdr:spPr bwMode="auto">
        <a:xfrm rot="-5316749">
          <a:off x="4114800" y="27955875"/>
          <a:ext cx="323850" cy="133350"/>
        </a:xfrm>
        <a:prstGeom prst="homePlate">
          <a:avLst>
            <a:gd name="adj" fmla="val 94456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17</xdr:col>
      <xdr:colOff>323850</xdr:colOff>
      <xdr:row>164</xdr:row>
      <xdr:rowOff>28575</xdr:rowOff>
    </xdr:from>
    <xdr:to>
      <xdr:col>20</xdr:col>
      <xdr:colOff>123825</xdr:colOff>
      <xdr:row>165</xdr:row>
      <xdr:rowOff>133350</xdr:rowOff>
    </xdr:to>
    <xdr:sp macro="" textlink="">
      <xdr:nvSpPr>
        <xdr:cNvPr id="23782" name="Text Box 230">
          <a:extLst>
            <a:ext uri="{FF2B5EF4-FFF2-40B4-BE49-F238E27FC236}">
              <a16:creationId xmlns:a16="http://schemas.microsoft.com/office/drawing/2014/main" id="{00000000-0008-0000-0300-0000E65C0000}"/>
            </a:ext>
          </a:extLst>
        </xdr:cNvPr>
        <xdr:cNvSpPr txBox="1">
          <a:spLocks noChangeArrowheads="1"/>
        </xdr:cNvSpPr>
      </xdr:nvSpPr>
      <xdr:spPr bwMode="auto">
        <a:xfrm>
          <a:off x="10125075" y="26584275"/>
          <a:ext cx="1628775" cy="266700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Q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troço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</a:t>
          </a: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(st)/h)</a:t>
          </a:r>
        </a:p>
      </xdr:txBody>
    </xdr:sp>
    <xdr:clientData/>
  </xdr:twoCellAnchor>
  <xdr:twoCellAnchor>
    <xdr:from>
      <xdr:col>17</xdr:col>
      <xdr:colOff>323850</xdr:colOff>
      <xdr:row>166</xdr:row>
      <xdr:rowOff>19050</xdr:rowOff>
    </xdr:from>
    <xdr:to>
      <xdr:col>21</xdr:col>
      <xdr:colOff>142875</xdr:colOff>
      <xdr:row>169</xdr:row>
      <xdr:rowOff>95250</xdr:rowOff>
    </xdr:to>
    <xdr:sp macro="" textlink="">
      <xdr:nvSpPr>
        <xdr:cNvPr id="23783" name="Text Box 231">
          <a:extLst>
            <a:ext uri="{FF2B5EF4-FFF2-40B4-BE49-F238E27FC236}">
              <a16:creationId xmlns:a16="http://schemas.microsoft.com/office/drawing/2014/main" id="{00000000-0008-0000-0300-0000E75C0000}"/>
            </a:ext>
          </a:extLst>
        </xdr:cNvPr>
        <xdr:cNvSpPr txBox="1">
          <a:spLocks noChangeArrowheads="1"/>
        </xdr:cNvSpPr>
      </xdr:nvSpPr>
      <xdr:spPr bwMode="auto">
        <a:xfrm>
          <a:off x="10125075" y="26898600"/>
          <a:ext cx="2257425" cy="5619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diâmetro interior  - D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i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(mm)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diâmetro exterior - D (mm)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diâmetro comercial - R e DN</a:t>
          </a:r>
        </a:p>
      </xdr:txBody>
    </xdr:sp>
    <xdr:clientData/>
  </xdr:twoCellAnchor>
  <xdr:twoCellAnchor>
    <xdr:from>
      <xdr:col>17</xdr:col>
      <xdr:colOff>323850</xdr:colOff>
      <xdr:row>179</xdr:row>
      <xdr:rowOff>133350</xdr:rowOff>
    </xdr:from>
    <xdr:to>
      <xdr:col>20</xdr:col>
      <xdr:colOff>228600</xdr:colOff>
      <xdr:row>181</xdr:row>
      <xdr:rowOff>66675</xdr:rowOff>
    </xdr:to>
    <xdr:sp macro="" textlink="">
      <xdr:nvSpPr>
        <xdr:cNvPr id="23784" name="Text Box 232">
          <a:extLst>
            <a:ext uri="{FF2B5EF4-FFF2-40B4-BE49-F238E27FC236}">
              <a16:creationId xmlns:a16="http://schemas.microsoft.com/office/drawing/2014/main" id="{00000000-0008-0000-0300-0000E85C0000}"/>
            </a:ext>
          </a:extLst>
        </xdr:cNvPr>
        <xdr:cNvSpPr txBox="1">
          <a:spLocks noChangeArrowheads="1"/>
        </xdr:cNvSpPr>
      </xdr:nvSpPr>
      <xdr:spPr bwMode="auto">
        <a:xfrm>
          <a:off x="10125075" y="29117925"/>
          <a:ext cx="1733550" cy="2571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Symbol"/>
            </a:rPr>
            <a:t>D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pt-PT" sz="11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acumulado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(mbar)</a:t>
          </a:r>
        </a:p>
      </xdr:txBody>
    </xdr:sp>
    <xdr:clientData/>
  </xdr:twoCellAnchor>
  <xdr:twoCellAnchor>
    <xdr:from>
      <xdr:col>17</xdr:col>
      <xdr:colOff>323850</xdr:colOff>
      <xdr:row>181</xdr:row>
      <xdr:rowOff>152400</xdr:rowOff>
    </xdr:from>
    <xdr:to>
      <xdr:col>19</xdr:col>
      <xdr:colOff>209550</xdr:colOff>
      <xdr:row>183</xdr:row>
      <xdr:rowOff>85725</xdr:rowOff>
    </xdr:to>
    <xdr:sp macro="" textlink="">
      <xdr:nvSpPr>
        <xdr:cNvPr id="23785" name="Text Box 233">
          <a:extLst>
            <a:ext uri="{FF2B5EF4-FFF2-40B4-BE49-F238E27FC236}">
              <a16:creationId xmlns:a16="http://schemas.microsoft.com/office/drawing/2014/main" id="{00000000-0008-0000-0300-0000E95C0000}"/>
            </a:ext>
          </a:extLst>
        </xdr:cNvPr>
        <xdr:cNvSpPr txBox="1">
          <a:spLocks noChangeArrowheads="1"/>
        </xdr:cNvSpPr>
      </xdr:nvSpPr>
      <xdr:spPr bwMode="auto">
        <a:xfrm>
          <a:off x="10125075" y="29460825"/>
          <a:ext cx="1104900" cy="2571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36000" tIns="46800" rIns="90000" bIns="4680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v (m/s)</a:t>
          </a:r>
        </a:p>
      </xdr:txBody>
    </xdr:sp>
    <xdr:clientData/>
  </xdr:twoCellAnchor>
  <xdr:twoCellAnchor>
    <xdr:from>
      <xdr:col>9</xdr:col>
      <xdr:colOff>171450</xdr:colOff>
      <xdr:row>0</xdr:row>
      <xdr:rowOff>76200</xdr:rowOff>
    </xdr:from>
    <xdr:to>
      <xdr:col>17</xdr:col>
      <xdr:colOff>57150</xdr:colOff>
      <xdr:row>3</xdr:row>
      <xdr:rowOff>76200</xdr:rowOff>
    </xdr:to>
    <xdr:sp macro="" textlink="">
      <xdr:nvSpPr>
        <xdr:cNvPr id="23654" name="AutoShape 102">
          <a:extLst>
            <a:ext uri="{FF2B5EF4-FFF2-40B4-BE49-F238E27FC236}">
              <a16:creationId xmlns:a16="http://schemas.microsoft.com/office/drawing/2014/main" id="{00000000-0008-0000-0300-0000665C0000}"/>
            </a:ext>
          </a:extLst>
        </xdr:cNvPr>
        <xdr:cNvSpPr>
          <a:spLocks noChangeArrowheads="1"/>
        </xdr:cNvSpPr>
      </xdr:nvSpPr>
      <xdr:spPr bwMode="auto">
        <a:xfrm>
          <a:off x="5095875" y="76200"/>
          <a:ext cx="4762500" cy="485775"/>
        </a:xfrm>
        <a:prstGeom prst="flowChartPreparation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50000">
              <a:schemeClr val="accent6">
                <a:lumMod val="75000"/>
              </a:schemeClr>
            </a:gs>
            <a:gs pos="100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FASE 1 - Dimensionamento MP</a:t>
          </a:r>
        </a:p>
      </xdr:txBody>
    </xdr:sp>
    <xdr:clientData/>
  </xdr:twoCellAnchor>
  <xdr:twoCellAnchor>
    <xdr:from>
      <xdr:col>9</xdr:col>
      <xdr:colOff>323850</xdr:colOff>
      <xdr:row>4</xdr:row>
      <xdr:rowOff>0</xdr:rowOff>
    </xdr:from>
    <xdr:to>
      <xdr:col>16</xdr:col>
      <xdr:colOff>419100</xdr:colOff>
      <xdr:row>9</xdr:row>
      <xdr:rowOff>85725</xdr:rowOff>
    </xdr:to>
    <xdr:sp macro="" textlink="">
      <xdr:nvSpPr>
        <xdr:cNvPr id="23655" name="Text Box 103">
          <a:extLst>
            <a:ext uri="{FF2B5EF4-FFF2-40B4-BE49-F238E27FC236}">
              <a16:creationId xmlns:a16="http://schemas.microsoft.com/office/drawing/2014/main" id="{00000000-0008-0000-0300-0000675C0000}"/>
            </a:ext>
          </a:extLst>
        </xdr:cNvPr>
        <xdr:cNvSpPr txBox="1">
          <a:spLocks noChangeArrowheads="1"/>
        </xdr:cNvSpPr>
      </xdr:nvSpPr>
      <xdr:spPr bwMode="auto">
        <a:xfrm>
          <a:off x="5248275" y="647700"/>
          <a:ext cx="4362450" cy="89535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Abrir o ficheiro "Excel":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APTA-Gás-Dimensionamento Instalação Aço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 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Seleccionar a folha com o título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Cálculo-Instalação Colectiva-MP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Premir as teclas "Control" e "L" ou o botão "</a:t>
          </a:r>
          <a:r>
            <a:rPr lang="pt-PT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Limpar todos os dados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", 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efectuando-se uma limpeza global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 folha de cálculo (eliminando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dados provenientes de utilizações anteriores).</a:t>
          </a: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323850</xdr:colOff>
      <xdr:row>9</xdr:row>
      <xdr:rowOff>104775</xdr:rowOff>
    </xdr:from>
    <xdr:to>
      <xdr:col>16</xdr:col>
      <xdr:colOff>428625</xdr:colOff>
      <xdr:row>12</xdr:row>
      <xdr:rowOff>47625</xdr:rowOff>
    </xdr:to>
    <xdr:sp macro="" textlink="">
      <xdr:nvSpPr>
        <xdr:cNvPr id="23656" name="Text Box 104">
          <a:extLst>
            <a:ext uri="{FF2B5EF4-FFF2-40B4-BE49-F238E27FC236}">
              <a16:creationId xmlns:a16="http://schemas.microsoft.com/office/drawing/2014/main" id="{00000000-0008-0000-0300-0000685C0000}"/>
            </a:ext>
          </a:extLst>
        </xdr:cNvPr>
        <xdr:cNvSpPr txBox="1">
          <a:spLocks noChangeArrowheads="1"/>
        </xdr:cNvSpPr>
      </xdr:nvSpPr>
      <xdr:spPr bwMode="auto">
        <a:xfrm>
          <a:off x="5248275" y="1562100"/>
          <a:ext cx="4371975" cy="4286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): Identificar o dimensionamento em causa, preenchendo os seguintes campos do cabeçalho: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Ref.ª"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,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Descrição"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Data"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</xdr:col>
      <xdr:colOff>133350</xdr:colOff>
      <xdr:row>4</xdr:row>
      <xdr:rowOff>19050</xdr:rowOff>
    </xdr:from>
    <xdr:to>
      <xdr:col>8</xdr:col>
      <xdr:colOff>333375</xdr:colOff>
      <xdr:row>5</xdr:row>
      <xdr:rowOff>123825</xdr:rowOff>
    </xdr:to>
    <xdr:sp macro="" textlink="">
      <xdr:nvSpPr>
        <xdr:cNvPr id="23643" name="Text Box 91">
          <a:extLst>
            <a:ext uri="{FF2B5EF4-FFF2-40B4-BE49-F238E27FC236}">
              <a16:creationId xmlns:a16="http://schemas.microsoft.com/office/drawing/2014/main" id="{00000000-0008-0000-0300-00005B5C0000}"/>
            </a:ext>
          </a:extLst>
        </xdr:cNvPr>
        <xdr:cNvSpPr txBox="1">
          <a:spLocks noChangeArrowheads="1"/>
        </xdr:cNvSpPr>
      </xdr:nvSpPr>
      <xdr:spPr bwMode="auto">
        <a:xfrm>
          <a:off x="180975" y="666750"/>
          <a:ext cx="4467225" cy="266700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O ficheiro de cálculo "Excel" contém as seguintes  folhas:</a:t>
          </a:r>
        </a:p>
      </xdr:txBody>
    </xdr:sp>
    <xdr:clientData/>
  </xdr:twoCellAnchor>
  <xdr:twoCellAnchor>
    <xdr:from>
      <xdr:col>1</xdr:col>
      <xdr:colOff>247650</xdr:colOff>
      <xdr:row>5</xdr:row>
      <xdr:rowOff>152400</xdr:rowOff>
    </xdr:from>
    <xdr:to>
      <xdr:col>8</xdr:col>
      <xdr:colOff>333375</xdr:colOff>
      <xdr:row>8</xdr:row>
      <xdr:rowOff>142875</xdr:rowOff>
    </xdr:to>
    <xdr:sp macro="" textlink="">
      <xdr:nvSpPr>
        <xdr:cNvPr id="23644" name="Text Box 92">
          <a:extLst>
            <a:ext uri="{FF2B5EF4-FFF2-40B4-BE49-F238E27FC236}">
              <a16:creationId xmlns:a16="http://schemas.microsoft.com/office/drawing/2014/main" id="{00000000-0008-0000-0300-00005C5C0000}"/>
            </a:ext>
          </a:extLst>
        </xdr:cNvPr>
        <xdr:cNvSpPr txBox="1">
          <a:spLocks noChangeArrowheads="1"/>
        </xdr:cNvSpPr>
      </xdr:nvSpPr>
      <xdr:spPr bwMode="auto">
        <a:xfrm>
          <a:off x="295275" y="962025"/>
          <a:ext cx="4352925" cy="47625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1. "Cálculo-Instalação Colectiva-MP":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Para especificações e dimensionamento da instalação colectiva em Média Pressão.</a:t>
          </a: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247650</xdr:colOff>
      <xdr:row>9</xdr:row>
      <xdr:rowOff>28575</xdr:rowOff>
    </xdr:from>
    <xdr:to>
      <xdr:col>8</xdr:col>
      <xdr:colOff>333375</xdr:colOff>
      <xdr:row>12</xdr:row>
      <xdr:rowOff>19050</xdr:rowOff>
    </xdr:to>
    <xdr:sp macro="" textlink="">
      <xdr:nvSpPr>
        <xdr:cNvPr id="23648" name="Text Box 96">
          <a:extLst>
            <a:ext uri="{FF2B5EF4-FFF2-40B4-BE49-F238E27FC236}">
              <a16:creationId xmlns:a16="http://schemas.microsoft.com/office/drawing/2014/main" id="{00000000-0008-0000-0300-0000605C0000}"/>
            </a:ext>
          </a:extLst>
        </xdr:cNvPr>
        <xdr:cNvSpPr txBox="1">
          <a:spLocks noChangeArrowheads="1"/>
        </xdr:cNvSpPr>
      </xdr:nvSpPr>
      <xdr:spPr bwMode="auto">
        <a:xfrm>
          <a:off x="295275" y="1485900"/>
          <a:ext cx="4352925" cy="47625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2. "Cálculo-Instalação Interior-BP":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Para especificações e dimensionamento das instalações individuais (fogos) em Baixa Pressão.</a:t>
          </a: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247650</xdr:colOff>
      <xdr:row>12</xdr:row>
      <xdr:rowOff>66675</xdr:rowOff>
    </xdr:from>
    <xdr:to>
      <xdr:col>8</xdr:col>
      <xdr:colOff>333375</xdr:colOff>
      <xdr:row>16</xdr:row>
      <xdr:rowOff>85725</xdr:rowOff>
    </xdr:to>
    <xdr:sp macro="" textlink="">
      <xdr:nvSpPr>
        <xdr:cNvPr id="23649" name="Text Box 97">
          <a:extLst>
            <a:ext uri="{FF2B5EF4-FFF2-40B4-BE49-F238E27FC236}">
              <a16:creationId xmlns:a16="http://schemas.microsoft.com/office/drawing/2014/main" id="{00000000-0008-0000-0300-0000615C0000}"/>
            </a:ext>
          </a:extLst>
        </xdr:cNvPr>
        <xdr:cNvSpPr txBox="1">
          <a:spLocks noChangeArrowheads="1"/>
        </xdr:cNvSpPr>
      </xdr:nvSpPr>
      <xdr:spPr bwMode="auto">
        <a:xfrm>
          <a:off x="295275" y="2009775"/>
          <a:ext cx="4352925" cy="66675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3. "Quadros 0 , 1 , 2 , 3 e 4":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Informação sobre características dos gases, potências típicas de aparelhos a gás, factores de simultaneidade, dimensões de tubagens em aço e valores de perdas de carga locais.</a:t>
          </a:r>
        </a:p>
      </xdr:txBody>
    </xdr:sp>
    <xdr:clientData/>
  </xdr:twoCellAnchor>
  <xdr:twoCellAnchor>
    <xdr:from>
      <xdr:col>1</xdr:col>
      <xdr:colOff>247650</xdr:colOff>
      <xdr:row>18</xdr:row>
      <xdr:rowOff>114300</xdr:rowOff>
    </xdr:from>
    <xdr:to>
      <xdr:col>8</xdr:col>
      <xdr:colOff>333375</xdr:colOff>
      <xdr:row>21</xdr:row>
      <xdr:rowOff>85725</xdr:rowOff>
    </xdr:to>
    <xdr:sp macro="" textlink="">
      <xdr:nvSpPr>
        <xdr:cNvPr id="23650" name="Text Box 98">
          <a:extLst>
            <a:ext uri="{FF2B5EF4-FFF2-40B4-BE49-F238E27FC236}">
              <a16:creationId xmlns:a16="http://schemas.microsoft.com/office/drawing/2014/main" id="{00000000-0008-0000-0300-0000625C0000}"/>
            </a:ext>
          </a:extLst>
        </xdr:cNvPr>
        <xdr:cNvSpPr txBox="1">
          <a:spLocks noChangeArrowheads="1"/>
        </xdr:cNvSpPr>
      </xdr:nvSpPr>
      <xdr:spPr bwMode="auto">
        <a:xfrm>
          <a:off x="295275" y="3028950"/>
          <a:ext cx="4352925" cy="45720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5. "Procedimento-MP":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Procedimento informativo de dimensionamento da Instalação funcionando em Média Pressão.</a:t>
          </a:r>
        </a:p>
      </xdr:txBody>
    </xdr:sp>
    <xdr:clientData/>
  </xdr:twoCellAnchor>
  <xdr:twoCellAnchor>
    <xdr:from>
      <xdr:col>1</xdr:col>
      <xdr:colOff>247650</xdr:colOff>
      <xdr:row>21</xdr:row>
      <xdr:rowOff>114300</xdr:rowOff>
    </xdr:from>
    <xdr:to>
      <xdr:col>8</xdr:col>
      <xdr:colOff>333375</xdr:colOff>
      <xdr:row>24</xdr:row>
      <xdr:rowOff>85725</xdr:rowOff>
    </xdr:to>
    <xdr:sp macro="" textlink="">
      <xdr:nvSpPr>
        <xdr:cNvPr id="23651" name="Text Box 99">
          <a:extLst>
            <a:ext uri="{FF2B5EF4-FFF2-40B4-BE49-F238E27FC236}">
              <a16:creationId xmlns:a16="http://schemas.microsoft.com/office/drawing/2014/main" id="{00000000-0008-0000-0300-0000635C0000}"/>
            </a:ext>
          </a:extLst>
        </xdr:cNvPr>
        <xdr:cNvSpPr txBox="1">
          <a:spLocks noChangeArrowheads="1"/>
        </xdr:cNvSpPr>
      </xdr:nvSpPr>
      <xdr:spPr bwMode="auto">
        <a:xfrm>
          <a:off x="295275" y="3514725"/>
          <a:ext cx="4352925" cy="45720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6. "Procedimento-BP":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Procedimento informativo de dimensionamento da Instalação funcionando em Baixa Pressão.</a:t>
          </a:r>
        </a:p>
      </xdr:txBody>
    </xdr:sp>
    <xdr:clientData/>
  </xdr:twoCellAnchor>
  <xdr:twoCellAnchor>
    <xdr:from>
      <xdr:col>1</xdr:col>
      <xdr:colOff>247650</xdr:colOff>
      <xdr:row>16</xdr:row>
      <xdr:rowOff>133350</xdr:rowOff>
    </xdr:from>
    <xdr:to>
      <xdr:col>8</xdr:col>
      <xdr:colOff>333375</xdr:colOff>
      <xdr:row>18</xdr:row>
      <xdr:rowOff>76200</xdr:rowOff>
    </xdr:to>
    <xdr:sp macro="" textlink="">
      <xdr:nvSpPr>
        <xdr:cNvPr id="23652" name="Text Box 100">
          <a:extLst>
            <a:ext uri="{FF2B5EF4-FFF2-40B4-BE49-F238E27FC236}">
              <a16:creationId xmlns:a16="http://schemas.microsoft.com/office/drawing/2014/main" id="{00000000-0008-0000-0300-0000645C0000}"/>
            </a:ext>
          </a:extLst>
        </xdr:cNvPr>
        <xdr:cNvSpPr txBox="1">
          <a:spLocks noChangeArrowheads="1"/>
        </xdr:cNvSpPr>
      </xdr:nvSpPr>
      <xdr:spPr bwMode="auto">
        <a:xfrm>
          <a:off x="295275" y="2724150"/>
          <a:ext cx="4352925" cy="26670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4. "Instruções":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Instruções de utilização desta aplicação de cálculo. </a:t>
          </a:r>
        </a:p>
      </xdr:txBody>
    </xdr:sp>
    <xdr:clientData/>
  </xdr:twoCellAnchor>
  <xdr:twoCellAnchor>
    <xdr:from>
      <xdr:col>1</xdr:col>
      <xdr:colOff>133350</xdr:colOff>
      <xdr:row>4</xdr:row>
      <xdr:rowOff>19050</xdr:rowOff>
    </xdr:from>
    <xdr:to>
      <xdr:col>1</xdr:col>
      <xdr:colOff>171450</xdr:colOff>
      <xdr:row>30</xdr:row>
      <xdr:rowOff>38100</xdr:rowOff>
    </xdr:to>
    <xdr:sp macro="" textlink="">
      <xdr:nvSpPr>
        <xdr:cNvPr id="119598" name="Rectangle 191">
          <a:extLst>
            <a:ext uri="{FF2B5EF4-FFF2-40B4-BE49-F238E27FC236}">
              <a16:creationId xmlns:a16="http://schemas.microsoft.com/office/drawing/2014/main" id="{00000000-0008-0000-0300-00002ED30100}"/>
            </a:ext>
          </a:extLst>
        </xdr:cNvPr>
        <xdr:cNvSpPr>
          <a:spLocks noChangeArrowheads="1"/>
        </xdr:cNvSpPr>
      </xdr:nvSpPr>
      <xdr:spPr bwMode="auto">
        <a:xfrm>
          <a:off x="180975" y="666750"/>
          <a:ext cx="38100" cy="4229100"/>
        </a:xfrm>
        <a:prstGeom prst="rect">
          <a:avLst/>
        </a:prstGeom>
        <a:solidFill>
          <a:srgbClr val="FF66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133350</xdr:colOff>
      <xdr:row>25</xdr:row>
      <xdr:rowOff>0</xdr:rowOff>
    </xdr:from>
    <xdr:to>
      <xdr:col>8</xdr:col>
      <xdr:colOff>333375</xdr:colOff>
      <xdr:row>26</xdr:row>
      <xdr:rowOff>104775</xdr:rowOff>
    </xdr:to>
    <xdr:sp macro="" textlink="">
      <xdr:nvSpPr>
        <xdr:cNvPr id="23744" name="Text Box 192">
          <a:extLst>
            <a:ext uri="{FF2B5EF4-FFF2-40B4-BE49-F238E27FC236}">
              <a16:creationId xmlns:a16="http://schemas.microsoft.com/office/drawing/2014/main" id="{00000000-0008-0000-0300-0000C05C0000}"/>
            </a:ext>
          </a:extLst>
        </xdr:cNvPr>
        <xdr:cNvSpPr txBox="1">
          <a:spLocks noChangeArrowheads="1"/>
        </xdr:cNvSpPr>
      </xdr:nvSpPr>
      <xdr:spPr bwMode="auto">
        <a:xfrm>
          <a:off x="180975" y="4048125"/>
          <a:ext cx="4467225" cy="266700"/>
        </a:xfrm>
        <a:prstGeom prst="rect">
          <a:avLst/>
        </a:prstGeom>
        <a:solidFill>
          <a:srgbClr val="FF6600"/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As células de introdução de dados são identificadas do seguinte modo:</a:t>
          </a:r>
        </a:p>
      </xdr:txBody>
    </xdr:sp>
    <xdr:clientData/>
  </xdr:twoCellAnchor>
  <xdr:twoCellAnchor>
    <xdr:from>
      <xdr:col>1</xdr:col>
      <xdr:colOff>389659</xdr:colOff>
      <xdr:row>26</xdr:row>
      <xdr:rowOff>152400</xdr:rowOff>
    </xdr:from>
    <xdr:to>
      <xdr:col>8</xdr:col>
      <xdr:colOff>333376</xdr:colOff>
      <xdr:row>28</xdr:row>
      <xdr:rowOff>76200</xdr:rowOff>
    </xdr:to>
    <xdr:sp macro="" textlink="">
      <xdr:nvSpPr>
        <xdr:cNvPr id="23745" name="Text Box 193">
          <a:extLst>
            <a:ext uri="{FF2B5EF4-FFF2-40B4-BE49-F238E27FC236}">
              <a16:creationId xmlns:a16="http://schemas.microsoft.com/office/drawing/2014/main" id="{00000000-0008-0000-0300-0000C15C0000}"/>
            </a:ext>
          </a:extLst>
        </xdr:cNvPr>
        <xdr:cNvSpPr txBox="1">
          <a:spLocks noChangeArrowheads="1"/>
        </xdr:cNvSpPr>
      </xdr:nvSpPr>
      <xdr:spPr bwMode="auto">
        <a:xfrm>
          <a:off x="441614" y="4429991"/>
          <a:ext cx="4186671" cy="25284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Verde Claro: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Células de introdução de dados de entrada ou decisões.</a:t>
          </a: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398318</xdr:colOff>
      <xdr:row>28</xdr:row>
      <xdr:rowOff>123825</xdr:rowOff>
    </xdr:from>
    <xdr:to>
      <xdr:col>8</xdr:col>
      <xdr:colOff>333376</xdr:colOff>
      <xdr:row>30</xdr:row>
      <xdr:rowOff>57150</xdr:rowOff>
    </xdr:to>
    <xdr:sp macro="" textlink="">
      <xdr:nvSpPr>
        <xdr:cNvPr id="23746" name="Text Box 194">
          <a:extLst>
            <a:ext uri="{FF2B5EF4-FFF2-40B4-BE49-F238E27FC236}">
              <a16:creationId xmlns:a16="http://schemas.microsoft.com/office/drawing/2014/main" id="{00000000-0008-0000-0300-0000C25C0000}"/>
            </a:ext>
          </a:extLst>
        </xdr:cNvPr>
        <xdr:cNvSpPr txBox="1">
          <a:spLocks noChangeArrowheads="1"/>
        </xdr:cNvSpPr>
      </xdr:nvSpPr>
      <xdr:spPr bwMode="auto">
        <a:xfrm>
          <a:off x="450273" y="4730461"/>
          <a:ext cx="4178012" cy="26237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defRPr sz="1000"/>
          </a:pP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Azul Claro   :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Células de introdução de dados obtidos no desenho.</a:t>
          </a:r>
          <a:r>
            <a:rPr lang="pt-PT" sz="1000" b="0" i="0" u="none" strike="noStrike" baseline="0">
              <a:solidFill>
                <a:srgbClr val="FFFFFF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19050</xdr:colOff>
      <xdr:row>0</xdr:row>
      <xdr:rowOff>76200</xdr:rowOff>
    </xdr:from>
    <xdr:to>
      <xdr:col>21</xdr:col>
      <xdr:colOff>552450</xdr:colOff>
      <xdr:row>118</xdr:row>
      <xdr:rowOff>66675</xdr:rowOff>
    </xdr:to>
    <xdr:grpSp>
      <xdr:nvGrpSpPr>
        <xdr:cNvPr id="119603" name="Group 281">
          <a:extLst>
            <a:ext uri="{FF2B5EF4-FFF2-40B4-BE49-F238E27FC236}">
              <a16:creationId xmlns:a16="http://schemas.microsoft.com/office/drawing/2014/main" id="{00000000-0008-0000-0300-000033D30100}"/>
            </a:ext>
          </a:extLst>
        </xdr:cNvPr>
        <xdr:cNvGrpSpPr>
          <a:grpSpLocks/>
        </xdr:cNvGrpSpPr>
      </xdr:nvGrpSpPr>
      <xdr:grpSpPr bwMode="auto">
        <a:xfrm>
          <a:off x="68531" y="76200"/>
          <a:ext cx="13596256" cy="18674320"/>
          <a:chOff x="7" y="8"/>
          <a:chExt cx="1336" cy="2005"/>
        </a:xfrm>
      </xdr:grpSpPr>
      <xdr:sp macro="" textlink="">
        <xdr:nvSpPr>
          <xdr:cNvPr id="119705" name="Line 273">
            <a:extLst>
              <a:ext uri="{FF2B5EF4-FFF2-40B4-BE49-F238E27FC236}">
                <a16:creationId xmlns:a16="http://schemas.microsoft.com/office/drawing/2014/main" id="{00000000-0008-0000-0300-000099D30100}"/>
              </a:ext>
            </a:extLst>
          </xdr:cNvPr>
          <xdr:cNvSpPr>
            <a:spLocks noChangeShapeType="1"/>
          </xdr:cNvSpPr>
        </xdr:nvSpPr>
        <xdr:spPr bwMode="auto">
          <a:xfrm>
            <a:off x="9" y="8"/>
            <a:ext cx="1" cy="1989"/>
          </a:xfrm>
          <a:prstGeom prst="line">
            <a:avLst/>
          </a:prstGeom>
          <a:noFill/>
          <a:ln w="57150">
            <a:solidFill>
              <a:srgbClr val="FF66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706" name="Line 274">
            <a:extLst>
              <a:ext uri="{FF2B5EF4-FFF2-40B4-BE49-F238E27FC236}">
                <a16:creationId xmlns:a16="http://schemas.microsoft.com/office/drawing/2014/main" id="{00000000-0008-0000-0300-00009AD30100}"/>
              </a:ext>
            </a:extLst>
          </xdr:cNvPr>
          <xdr:cNvSpPr>
            <a:spLocks noChangeShapeType="1"/>
          </xdr:cNvSpPr>
        </xdr:nvSpPr>
        <xdr:spPr bwMode="auto">
          <a:xfrm>
            <a:off x="7" y="1997"/>
            <a:ext cx="714" cy="1"/>
          </a:xfrm>
          <a:prstGeom prst="line">
            <a:avLst/>
          </a:prstGeom>
          <a:noFill/>
          <a:ln w="57150">
            <a:solidFill>
              <a:srgbClr val="FF66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grpSp>
        <xdr:nvGrpSpPr>
          <xdr:cNvPr id="119707" name="Group 280">
            <a:extLst>
              <a:ext uri="{FF2B5EF4-FFF2-40B4-BE49-F238E27FC236}">
                <a16:creationId xmlns:a16="http://schemas.microsoft.com/office/drawing/2014/main" id="{00000000-0008-0000-0300-00009BD30100}"/>
              </a:ext>
            </a:extLst>
          </xdr:cNvPr>
          <xdr:cNvGrpSpPr>
            <a:grpSpLocks/>
          </xdr:cNvGrpSpPr>
        </xdr:nvGrpSpPr>
        <xdr:grpSpPr bwMode="auto">
          <a:xfrm>
            <a:off x="757" y="1984"/>
            <a:ext cx="586" cy="29"/>
            <a:chOff x="757" y="1984"/>
            <a:chExt cx="586" cy="29"/>
          </a:xfrm>
        </xdr:grpSpPr>
        <xdr:sp macro="" textlink="">
          <xdr:nvSpPr>
            <xdr:cNvPr id="23722" name="Text Box 170">
              <a:extLst>
                <a:ext uri="{FF2B5EF4-FFF2-40B4-BE49-F238E27FC236}">
                  <a16:creationId xmlns:a16="http://schemas.microsoft.com/office/drawing/2014/main" id="{00000000-0008-0000-0300-0000AA5C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46" y="1984"/>
              <a:ext cx="97" cy="29"/>
            </a:xfrm>
            <a:prstGeom prst="rect">
              <a:avLst/>
            </a:prstGeom>
            <a:solidFill>
              <a:srgbClr val="FF6600"/>
            </a:solidFill>
            <a:ln w="9525">
              <a:noFill/>
              <a:miter lim="800000"/>
              <a:headEnd/>
              <a:tailEnd/>
            </a:ln>
            <a:effectLst/>
          </xdr:spPr>
          <xdr:txBody>
            <a:bodyPr vertOverflow="clip" wrap="square" lIns="72000" tIns="46800" rIns="90000" bIns="46800" anchor="ctr" upright="1"/>
            <a:lstStyle/>
            <a:p>
              <a:pPr algn="l" rtl="0">
                <a:defRPr sz="1000"/>
              </a:pPr>
              <a:r>
                <a:rPr lang="pt-PT" sz="1100" b="0" i="0" u="none" strike="noStrike" baseline="0">
                  <a:solidFill>
                    <a:srgbClr val="FFFFFF"/>
                  </a:solidFill>
                  <a:latin typeface="Arial"/>
                  <a:cs typeface="Arial"/>
                </a:rPr>
                <a:t>Pág.</a:t>
              </a:r>
              <a:r>
                <a:rPr lang="pt-PT" sz="1100" b="1" i="0" u="none" strike="noStrike" baseline="0">
                  <a:solidFill>
                    <a:srgbClr val="FFFFFF"/>
                  </a:solidFill>
                  <a:latin typeface="Arial"/>
                  <a:cs typeface="Arial"/>
                </a:rPr>
                <a:t> 1 </a:t>
              </a:r>
              <a:r>
                <a:rPr lang="pt-PT" sz="1100" b="0" i="0" u="none" strike="noStrike" baseline="0">
                  <a:solidFill>
                    <a:srgbClr val="FFFFFF"/>
                  </a:solidFill>
                  <a:latin typeface="Arial"/>
                  <a:cs typeface="Arial"/>
                </a:rPr>
                <a:t>de</a:t>
              </a:r>
              <a:r>
                <a:rPr lang="pt-PT" sz="1100" b="1" i="0" u="none" strike="noStrike" baseline="0">
                  <a:solidFill>
                    <a:srgbClr val="FFFFFF"/>
                  </a:solidFill>
                  <a:latin typeface="Arial"/>
                  <a:cs typeface="Arial"/>
                </a:rPr>
                <a:t> 2</a:t>
              </a:r>
            </a:p>
          </xdr:txBody>
        </xdr:sp>
        <xdr:sp macro="" textlink="">
          <xdr:nvSpPr>
            <xdr:cNvPr id="119709" name="Line 275">
              <a:extLst>
                <a:ext uri="{FF2B5EF4-FFF2-40B4-BE49-F238E27FC236}">
                  <a16:creationId xmlns:a16="http://schemas.microsoft.com/office/drawing/2014/main" id="{00000000-0008-0000-0300-00009D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757" y="1997"/>
              <a:ext cx="455" cy="1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19710" name="Line 276">
              <a:extLst>
                <a:ext uri="{FF2B5EF4-FFF2-40B4-BE49-F238E27FC236}">
                  <a16:creationId xmlns:a16="http://schemas.microsoft.com/office/drawing/2014/main" id="{00000000-0008-0000-0300-00009E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240" y="1984"/>
              <a:ext cx="0" cy="29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19711" name="Line 277">
              <a:extLst>
                <a:ext uri="{FF2B5EF4-FFF2-40B4-BE49-F238E27FC236}">
                  <a16:creationId xmlns:a16="http://schemas.microsoft.com/office/drawing/2014/main" id="{00000000-0008-0000-0300-00009F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231" y="1984"/>
              <a:ext cx="0" cy="29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19712" name="Line 278">
              <a:extLst>
                <a:ext uri="{FF2B5EF4-FFF2-40B4-BE49-F238E27FC236}">
                  <a16:creationId xmlns:a16="http://schemas.microsoft.com/office/drawing/2014/main" id="{00000000-0008-0000-0300-0000A0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222" y="1984"/>
              <a:ext cx="0" cy="29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19713" name="Line 279">
              <a:extLst>
                <a:ext uri="{FF2B5EF4-FFF2-40B4-BE49-F238E27FC236}">
                  <a16:creationId xmlns:a16="http://schemas.microsoft.com/office/drawing/2014/main" id="{00000000-0008-0000-0300-0000A1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213" y="1984"/>
              <a:ext cx="0" cy="29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1</xdr:col>
      <xdr:colOff>19050</xdr:colOff>
      <xdr:row>119</xdr:row>
      <xdr:rowOff>104775</xdr:rowOff>
    </xdr:from>
    <xdr:to>
      <xdr:col>21</xdr:col>
      <xdr:colOff>552450</xdr:colOff>
      <xdr:row>235</xdr:row>
      <xdr:rowOff>57150</xdr:rowOff>
    </xdr:to>
    <xdr:grpSp>
      <xdr:nvGrpSpPr>
        <xdr:cNvPr id="119604" name="Group 294">
          <a:extLst>
            <a:ext uri="{FF2B5EF4-FFF2-40B4-BE49-F238E27FC236}">
              <a16:creationId xmlns:a16="http://schemas.microsoft.com/office/drawing/2014/main" id="{00000000-0008-0000-0300-000034D30100}"/>
            </a:ext>
          </a:extLst>
        </xdr:cNvPr>
        <xdr:cNvGrpSpPr>
          <a:grpSpLocks/>
        </xdr:cNvGrpSpPr>
      </xdr:nvGrpSpPr>
      <xdr:grpSpPr bwMode="auto">
        <a:xfrm>
          <a:off x="68531" y="18946957"/>
          <a:ext cx="13596256" cy="18319544"/>
          <a:chOff x="7" y="2034"/>
          <a:chExt cx="1336" cy="1967"/>
        </a:xfrm>
      </xdr:grpSpPr>
      <xdr:sp macro="" textlink="">
        <xdr:nvSpPr>
          <xdr:cNvPr id="119695" name="Line 283">
            <a:extLst>
              <a:ext uri="{FF2B5EF4-FFF2-40B4-BE49-F238E27FC236}">
                <a16:creationId xmlns:a16="http://schemas.microsoft.com/office/drawing/2014/main" id="{00000000-0008-0000-0300-00008FD30100}"/>
              </a:ext>
            </a:extLst>
          </xdr:cNvPr>
          <xdr:cNvSpPr>
            <a:spLocks noChangeShapeType="1"/>
          </xdr:cNvSpPr>
        </xdr:nvSpPr>
        <xdr:spPr bwMode="auto">
          <a:xfrm>
            <a:off x="9" y="2034"/>
            <a:ext cx="1" cy="1950"/>
          </a:xfrm>
          <a:prstGeom prst="line">
            <a:avLst/>
          </a:prstGeom>
          <a:noFill/>
          <a:ln w="57150">
            <a:solidFill>
              <a:srgbClr val="FF66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grpSp>
        <xdr:nvGrpSpPr>
          <xdr:cNvPr id="119696" name="Group 293">
            <a:extLst>
              <a:ext uri="{FF2B5EF4-FFF2-40B4-BE49-F238E27FC236}">
                <a16:creationId xmlns:a16="http://schemas.microsoft.com/office/drawing/2014/main" id="{00000000-0008-0000-0300-000090D30100}"/>
              </a:ext>
            </a:extLst>
          </xdr:cNvPr>
          <xdr:cNvGrpSpPr>
            <a:grpSpLocks/>
          </xdr:cNvGrpSpPr>
        </xdr:nvGrpSpPr>
        <xdr:grpSpPr bwMode="auto">
          <a:xfrm>
            <a:off x="7" y="3972"/>
            <a:ext cx="1336" cy="29"/>
            <a:chOff x="7" y="4010"/>
            <a:chExt cx="1336" cy="29"/>
          </a:xfrm>
        </xdr:grpSpPr>
        <xdr:sp macro="" textlink="">
          <xdr:nvSpPr>
            <xdr:cNvPr id="119697" name="Line 284">
              <a:extLst>
                <a:ext uri="{FF2B5EF4-FFF2-40B4-BE49-F238E27FC236}">
                  <a16:creationId xmlns:a16="http://schemas.microsoft.com/office/drawing/2014/main" id="{00000000-0008-0000-0300-000091D301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7" y="4023"/>
              <a:ext cx="752" cy="1"/>
            </a:xfrm>
            <a:prstGeom prst="line">
              <a:avLst/>
            </a:prstGeom>
            <a:noFill/>
            <a:ln w="57150">
              <a:solidFill>
                <a:srgbClr val="FF66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grpSp>
          <xdr:nvGrpSpPr>
            <xdr:cNvPr id="119698" name="Group 292">
              <a:extLst>
                <a:ext uri="{FF2B5EF4-FFF2-40B4-BE49-F238E27FC236}">
                  <a16:creationId xmlns:a16="http://schemas.microsoft.com/office/drawing/2014/main" id="{00000000-0008-0000-0300-000092D3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757" y="4010"/>
              <a:ext cx="586" cy="29"/>
              <a:chOff x="757" y="4010"/>
              <a:chExt cx="586" cy="29"/>
            </a:xfrm>
          </xdr:grpSpPr>
          <xdr:sp macro="" textlink="">
            <xdr:nvSpPr>
              <xdr:cNvPr id="23838" name="Text Box 286">
                <a:extLst>
                  <a:ext uri="{FF2B5EF4-FFF2-40B4-BE49-F238E27FC236}">
                    <a16:creationId xmlns:a16="http://schemas.microsoft.com/office/drawing/2014/main" id="{00000000-0008-0000-0300-00001E5D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246" y="4010"/>
                <a:ext cx="97" cy="29"/>
              </a:xfrm>
              <a:prstGeom prst="rect">
                <a:avLst/>
              </a:prstGeom>
              <a:solidFill>
                <a:srgbClr val="FF6600"/>
              </a:solidFill>
              <a:ln w="9525">
                <a:solidFill>
                  <a:srgbClr val="FF6600"/>
                </a:solidFill>
                <a:miter lim="800000"/>
                <a:headEnd/>
                <a:tailEnd/>
              </a:ln>
              <a:effectLst/>
            </xdr:spPr>
            <xdr:txBody>
              <a:bodyPr vertOverflow="clip" wrap="square" lIns="72000" tIns="46800" rIns="90000" bIns="46800" anchor="ctr" upright="1"/>
              <a:lstStyle/>
              <a:p>
                <a:pPr algn="l" rtl="0">
                  <a:defRPr sz="1000"/>
                </a:pPr>
                <a:r>
                  <a:rPr lang="pt-PT" sz="11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Pág.</a:t>
                </a:r>
                <a:r>
                  <a:rPr lang="pt-PT" sz="1100" b="1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 2 </a:t>
                </a:r>
                <a:r>
                  <a:rPr lang="pt-PT" sz="11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de</a:t>
                </a:r>
                <a:r>
                  <a:rPr lang="pt-PT" sz="1100" b="1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 2</a:t>
                </a:r>
              </a:p>
            </xdr:txBody>
          </xdr:sp>
          <xdr:sp macro="" textlink="">
            <xdr:nvSpPr>
              <xdr:cNvPr id="119700" name="Line 287">
                <a:extLst>
                  <a:ext uri="{FF2B5EF4-FFF2-40B4-BE49-F238E27FC236}">
                    <a16:creationId xmlns:a16="http://schemas.microsoft.com/office/drawing/2014/main" id="{00000000-0008-0000-0300-000094D301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757" y="4023"/>
                <a:ext cx="455" cy="1"/>
              </a:xfrm>
              <a:prstGeom prst="line">
                <a:avLst/>
              </a:prstGeom>
              <a:noFill/>
              <a:ln w="57150">
                <a:solidFill>
                  <a:srgbClr val="FF660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119701" name="Line 288">
                <a:extLst>
                  <a:ext uri="{FF2B5EF4-FFF2-40B4-BE49-F238E27FC236}">
                    <a16:creationId xmlns:a16="http://schemas.microsoft.com/office/drawing/2014/main" id="{00000000-0008-0000-0300-000095D301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240" y="4010"/>
                <a:ext cx="0" cy="29"/>
              </a:xfrm>
              <a:prstGeom prst="line">
                <a:avLst/>
              </a:prstGeom>
              <a:noFill/>
              <a:ln w="57150">
                <a:solidFill>
                  <a:srgbClr val="FF660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119702" name="Line 289">
                <a:extLst>
                  <a:ext uri="{FF2B5EF4-FFF2-40B4-BE49-F238E27FC236}">
                    <a16:creationId xmlns:a16="http://schemas.microsoft.com/office/drawing/2014/main" id="{00000000-0008-0000-0300-000096D301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231" y="4010"/>
                <a:ext cx="0" cy="29"/>
              </a:xfrm>
              <a:prstGeom prst="line">
                <a:avLst/>
              </a:prstGeom>
              <a:noFill/>
              <a:ln w="57150">
                <a:solidFill>
                  <a:srgbClr val="FF660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119703" name="Line 290">
                <a:extLst>
                  <a:ext uri="{FF2B5EF4-FFF2-40B4-BE49-F238E27FC236}">
                    <a16:creationId xmlns:a16="http://schemas.microsoft.com/office/drawing/2014/main" id="{00000000-0008-0000-0300-000097D301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222" y="4010"/>
                <a:ext cx="0" cy="29"/>
              </a:xfrm>
              <a:prstGeom prst="line">
                <a:avLst/>
              </a:prstGeom>
              <a:noFill/>
              <a:ln w="57150">
                <a:solidFill>
                  <a:srgbClr val="FF660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119704" name="Line 291">
                <a:extLst>
                  <a:ext uri="{FF2B5EF4-FFF2-40B4-BE49-F238E27FC236}">
                    <a16:creationId xmlns:a16="http://schemas.microsoft.com/office/drawing/2014/main" id="{00000000-0008-0000-0300-000098D301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213" y="4010"/>
                <a:ext cx="0" cy="29"/>
              </a:xfrm>
              <a:prstGeom prst="line">
                <a:avLst/>
              </a:prstGeom>
              <a:noFill/>
              <a:ln w="57150">
                <a:solidFill>
                  <a:srgbClr val="FF6600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</xdr:grpSp>
      </xdr:grpSp>
    </xdr:grpSp>
    <xdr:clientData/>
  </xdr:twoCellAnchor>
  <xdr:twoCellAnchor>
    <xdr:from>
      <xdr:col>17</xdr:col>
      <xdr:colOff>28575</xdr:colOff>
      <xdr:row>85</xdr:row>
      <xdr:rowOff>95250</xdr:rowOff>
    </xdr:from>
    <xdr:to>
      <xdr:col>22</xdr:col>
      <xdr:colOff>0</xdr:colOff>
      <xdr:row>90</xdr:row>
      <xdr:rowOff>152400</xdr:rowOff>
    </xdr:to>
    <xdr:sp macro="" textlink="">
      <xdr:nvSpPr>
        <xdr:cNvPr id="23567" name="Text Box 15">
          <a:extLst>
            <a:ext uri="{FF2B5EF4-FFF2-40B4-BE49-F238E27FC236}">
              <a16:creationId xmlns:a16="http://schemas.microsoft.com/office/drawing/2014/main" id="{00000000-0008-0000-0300-00000F5C0000}"/>
            </a:ext>
          </a:extLst>
        </xdr:cNvPr>
        <xdr:cNvSpPr txBox="1">
          <a:spLocks noChangeArrowheads="1"/>
        </xdr:cNvSpPr>
      </xdr:nvSpPr>
      <xdr:spPr bwMode="auto">
        <a:xfrm>
          <a:off x="9829800" y="13858875"/>
          <a:ext cx="3000375" cy="866775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Ponto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derivação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 uma tubagem.</a:t>
          </a: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Troço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de tubagem - Tubagem situada entre: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Dois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Um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um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redutor de pressão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vice-versa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485775</xdr:colOff>
      <xdr:row>85</xdr:row>
      <xdr:rowOff>85725</xdr:rowOff>
    </xdr:from>
    <xdr:to>
      <xdr:col>16</xdr:col>
      <xdr:colOff>552450</xdr:colOff>
      <xdr:row>89</xdr:row>
      <xdr:rowOff>85725</xdr:rowOff>
    </xdr:to>
    <xdr:sp macro="" textlink="">
      <xdr:nvSpPr>
        <xdr:cNvPr id="23568" name="Text Box 16">
          <a:extLst>
            <a:ext uri="{FF2B5EF4-FFF2-40B4-BE49-F238E27FC236}">
              <a16:creationId xmlns:a16="http://schemas.microsoft.com/office/drawing/2014/main" id="{00000000-0008-0000-0300-0000105C0000}"/>
            </a:ext>
          </a:extLst>
        </xdr:cNvPr>
        <xdr:cNvSpPr txBox="1">
          <a:spLocks noChangeArrowheads="1"/>
        </xdr:cNvSpPr>
      </xdr:nvSpPr>
      <xdr:spPr bwMode="auto">
        <a:xfrm>
          <a:off x="4800600" y="13849350"/>
          <a:ext cx="4943475" cy="6477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46800" rIns="72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desenho da instalação de gás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colectiva (Média Pressão)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dimensionar, codificar ou numerar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sequencialmente, a partir da caixa de entrada do edifício inclusivé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todos os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nós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redutores de pressão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(por ex.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B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C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etc.).</a:t>
          </a:r>
        </a:p>
      </xdr:txBody>
    </xdr:sp>
    <xdr:clientData/>
  </xdr:twoCellAnchor>
  <xdr:twoCellAnchor>
    <xdr:from>
      <xdr:col>7</xdr:col>
      <xdr:colOff>171450</xdr:colOff>
      <xdr:row>85</xdr:row>
      <xdr:rowOff>95250</xdr:rowOff>
    </xdr:from>
    <xdr:to>
      <xdr:col>8</xdr:col>
      <xdr:colOff>409575</xdr:colOff>
      <xdr:row>88</xdr:row>
      <xdr:rowOff>47625</xdr:rowOff>
    </xdr:to>
    <xdr:sp macro="" textlink="">
      <xdr:nvSpPr>
        <xdr:cNvPr id="119607" name="AutoShape 29">
          <a:extLst>
            <a:ext uri="{FF2B5EF4-FFF2-40B4-BE49-F238E27FC236}">
              <a16:creationId xmlns:a16="http://schemas.microsoft.com/office/drawing/2014/main" id="{00000000-0008-0000-0300-000037D30100}"/>
            </a:ext>
          </a:extLst>
        </xdr:cNvPr>
        <xdr:cNvSpPr>
          <a:spLocks noChangeArrowheads="1"/>
        </xdr:cNvSpPr>
      </xdr:nvSpPr>
      <xdr:spPr bwMode="auto">
        <a:xfrm>
          <a:off x="3876675" y="13858875"/>
          <a:ext cx="847725" cy="438150"/>
        </a:xfrm>
        <a:prstGeom prst="homePlate">
          <a:avLst>
            <a:gd name="adj" fmla="val 48370"/>
          </a:avLst>
        </a:prstGeom>
        <a:gradFill rotWithShape="1">
          <a:gsLst>
            <a:gs pos="900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>
          <a:noFill/>
        </a:ln>
      </xdr:spPr>
    </xdr:sp>
    <xdr:clientData/>
  </xdr:twoCellAnchor>
  <xdr:twoCellAnchor>
    <xdr:from>
      <xdr:col>1</xdr:col>
      <xdr:colOff>257175</xdr:colOff>
      <xdr:row>85</xdr:row>
      <xdr:rowOff>95250</xdr:rowOff>
    </xdr:from>
    <xdr:to>
      <xdr:col>7</xdr:col>
      <xdr:colOff>361950</xdr:colOff>
      <xdr:row>95</xdr:row>
      <xdr:rowOff>9525</xdr:rowOff>
    </xdr:to>
    <xdr:sp macro="" textlink="">
      <xdr:nvSpPr>
        <xdr:cNvPr id="23582" name="Text Box 30">
          <a:extLst>
            <a:ext uri="{FF2B5EF4-FFF2-40B4-BE49-F238E27FC236}">
              <a16:creationId xmlns:a16="http://schemas.microsoft.com/office/drawing/2014/main" id="{00000000-0008-0000-0300-00001E5C0000}"/>
            </a:ext>
          </a:extLst>
        </xdr:cNvPr>
        <xdr:cNvSpPr txBox="1">
          <a:spLocks noChangeArrowheads="1"/>
        </xdr:cNvSpPr>
      </xdr:nvSpPr>
      <xdr:spPr bwMode="auto">
        <a:xfrm>
          <a:off x="304800" y="13858875"/>
          <a:ext cx="3762375" cy="1533525"/>
        </a:xfrm>
        <a:prstGeom prst="rect">
          <a:avLst/>
        </a:prstGeom>
        <a:gradFill rotWithShape="0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just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Passo 3 (bloco "Cálculos"):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Especificar: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16) O início e fim de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17) Nº e tipo de fogos abastecios por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18) Comprimento de cada troço,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19) Altura da cada troço.</a:t>
          </a:r>
        </a:p>
        <a:p>
          <a:pPr algn="just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20) Opcional: perdas de carga localizadas (Quadro 4).</a:t>
          </a:r>
        </a:p>
      </xdr:txBody>
    </xdr:sp>
    <xdr:clientData/>
  </xdr:twoCellAnchor>
  <xdr:twoCellAnchor>
    <xdr:from>
      <xdr:col>1</xdr:col>
      <xdr:colOff>247650</xdr:colOff>
      <xdr:row>185</xdr:row>
      <xdr:rowOff>152400</xdr:rowOff>
    </xdr:from>
    <xdr:to>
      <xdr:col>8</xdr:col>
      <xdr:colOff>28575</xdr:colOff>
      <xdr:row>194</xdr:row>
      <xdr:rowOff>9525</xdr:rowOff>
    </xdr:to>
    <xdr:grpSp>
      <xdr:nvGrpSpPr>
        <xdr:cNvPr id="119609" name="Group 560">
          <a:extLst>
            <a:ext uri="{FF2B5EF4-FFF2-40B4-BE49-F238E27FC236}">
              <a16:creationId xmlns:a16="http://schemas.microsoft.com/office/drawing/2014/main" id="{00000000-0008-0000-0300-000039D30100}"/>
            </a:ext>
          </a:extLst>
        </xdr:cNvPr>
        <xdr:cNvGrpSpPr>
          <a:grpSpLocks/>
        </xdr:cNvGrpSpPr>
      </xdr:nvGrpSpPr>
      <xdr:grpSpPr bwMode="auto">
        <a:xfrm>
          <a:off x="297131" y="29444867"/>
          <a:ext cx="4352925" cy="1282164"/>
          <a:chOff x="31" y="3425"/>
          <a:chExt cx="425" cy="138"/>
        </a:xfrm>
        <a:gradFill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</xdr:grpSpPr>
      <xdr:sp macro="" textlink="">
        <xdr:nvSpPr>
          <xdr:cNvPr id="119693" name="AutoShape 156">
            <a:extLst>
              <a:ext uri="{FF2B5EF4-FFF2-40B4-BE49-F238E27FC236}">
                <a16:creationId xmlns:a16="http://schemas.microsoft.com/office/drawing/2014/main" id="{00000000-0008-0000-0300-00008DD30100}"/>
              </a:ext>
            </a:extLst>
          </xdr:cNvPr>
          <xdr:cNvSpPr>
            <a:spLocks noChangeArrowheads="1"/>
          </xdr:cNvSpPr>
        </xdr:nvSpPr>
        <xdr:spPr bwMode="auto">
          <a:xfrm>
            <a:off x="352" y="3425"/>
            <a:ext cx="104" cy="46"/>
          </a:xfrm>
          <a:prstGeom prst="homePlate">
            <a:avLst>
              <a:gd name="adj" fmla="val 56522"/>
            </a:avLst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709" name="Text Box 157">
            <a:extLst>
              <a:ext uri="{FF2B5EF4-FFF2-40B4-BE49-F238E27FC236}">
                <a16:creationId xmlns:a16="http://schemas.microsoft.com/office/drawing/2014/main" id="{00000000-0008-0000-0300-00009D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" y="3425"/>
            <a:ext cx="374" cy="138"/>
          </a:xfrm>
          <a:prstGeom prst="rect">
            <a:avLst/>
          </a:prstGeom>
          <a:grpFill/>
          <a:ln w="9525">
            <a:noFill/>
            <a:miter lim="800000"/>
            <a:headEnd/>
            <a:tailEnd/>
          </a:ln>
        </xdr:spPr>
        <xdr:txBody>
          <a:bodyPr vertOverflow="clip" wrap="square" lIns="36576" tIns="27432" rIns="0" bIns="27432" anchor="ctr" upright="1"/>
          <a:lstStyle/>
          <a:p>
            <a:pPr algn="l" rtl="0">
              <a:defRPr sz="1000"/>
            </a:pP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Passo 7 (bloco "Cálculos-Instalação Individual", análise e avaliação):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  <a:p>
            <a:pPr algn="l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Analisar em cada troço:</a:t>
            </a:r>
          </a:p>
          <a:p>
            <a:pPr algn="l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33) Conformidade da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Perda de Carga Acumulada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,</a:t>
            </a:r>
          </a:p>
          <a:p>
            <a:pPr algn="l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34) Conformidade da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Velocidade de Escoamento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,</a:t>
            </a:r>
          </a:p>
          <a:p>
            <a:pPr algn="l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35) </a:t>
            </a: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Redimensionar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se necessário.</a:t>
            </a:r>
          </a:p>
        </xdr:txBody>
      </xdr:sp>
    </xdr:grpSp>
    <xdr:clientData/>
  </xdr:twoCellAnchor>
  <xdr:twoCellAnchor>
    <xdr:from>
      <xdr:col>9</xdr:col>
      <xdr:colOff>9525</xdr:colOff>
      <xdr:row>179</xdr:row>
      <xdr:rowOff>95250</xdr:rowOff>
    </xdr:from>
    <xdr:to>
      <xdr:col>17</xdr:col>
      <xdr:colOff>266700</xdr:colOff>
      <xdr:row>189</xdr:row>
      <xdr:rowOff>114300</xdr:rowOff>
    </xdr:to>
    <xdr:sp macro="" textlink="">
      <xdr:nvSpPr>
        <xdr:cNvPr id="23711" name="Text Box 159">
          <a:extLst>
            <a:ext uri="{FF2B5EF4-FFF2-40B4-BE49-F238E27FC236}">
              <a16:creationId xmlns:a16="http://schemas.microsoft.com/office/drawing/2014/main" id="{00000000-0008-0000-0300-00009F5C0000}"/>
            </a:ext>
          </a:extLst>
        </xdr:cNvPr>
        <xdr:cNvSpPr txBox="1">
          <a:spLocks noChangeArrowheads="1"/>
        </xdr:cNvSpPr>
      </xdr:nvSpPr>
      <xdr:spPr bwMode="auto">
        <a:xfrm>
          <a:off x="4933950" y="29079825"/>
          <a:ext cx="5133975" cy="1638300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46800" rIns="72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Nas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(24)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são apresentadas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perda de carga acumulada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e a respectiva avaliação da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conformidade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 troço em questão.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Nas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(25)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(26)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são apresentadas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velocidade de escoamento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m/s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e a respectiva avaliação da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conformidade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 troço em questão.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Nos troços onde se verificarem casos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não conformidade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(automaticamente assinalados pela cor </a:t>
          </a:r>
          <a:r>
            <a:rPr lang="pt-PT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vermelha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 com a mensagem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"Redimensionar"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), deve-se subir um escalão no valor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diâmetro interior normalizado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 troço em questão por consulta no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introduzindo esse novo valor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mm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na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(13)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correspondente ao novo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diâmetro imposto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</xdr:txBody>
    </xdr:sp>
    <xdr:clientData/>
  </xdr:twoCellAnchor>
  <xdr:twoCellAnchor>
    <xdr:from>
      <xdr:col>11</xdr:col>
      <xdr:colOff>76200</xdr:colOff>
      <xdr:row>56</xdr:row>
      <xdr:rowOff>123825</xdr:rowOff>
    </xdr:from>
    <xdr:to>
      <xdr:col>14</xdr:col>
      <xdr:colOff>38100</xdr:colOff>
      <xdr:row>66</xdr:row>
      <xdr:rowOff>142875</xdr:rowOff>
    </xdr:to>
    <xdr:sp macro="" textlink="">
      <xdr:nvSpPr>
        <xdr:cNvPr id="23590" name="AutoShape 38">
          <a:extLst>
            <a:ext uri="{FF2B5EF4-FFF2-40B4-BE49-F238E27FC236}">
              <a16:creationId xmlns:a16="http://schemas.microsoft.com/office/drawing/2014/main" id="{00000000-0008-0000-0300-0000265C0000}"/>
            </a:ext>
          </a:extLst>
        </xdr:cNvPr>
        <xdr:cNvSpPr>
          <a:spLocks noChangeArrowheads="1"/>
        </xdr:cNvSpPr>
      </xdr:nvSpPr>
      <xdr:spPr bwMode="auto">
        <a:xfrm>
          <a:off x="6219825" y="9191625"/>
          <a:ext cx="1790700" cy="1638300"/>
        </a:xfrm>
        <a:prstGeom prst="diamond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As 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características dos aparelhos a gás são conhecidas?</a:t>
          </a:r>
        </a:p>
      </xdr:txBody>
    </xdr:sp>
    <xdr:clientData/>
  </xdr:twoCellAnchor>
  <xdr:twoCellAnchor>
    <xdr:from>
      <xdr:col>11</xdr:col>
      <xdr:colOff>485775</xdr:colOff>
      <xdr:row>66</xdr:row>
      <xdr:rowOff>19050</xdr:rowOff>
    </xdr:from>
    <xdr:to>
      <xdr:col>12</xdr:col>
      <xdr:colOff>200025</xdr:colOff>
      <xdr:row>67</xdr:row>
      <xdr:rowOff>95250</xdr:rowOff>
    </xdr:to>
    <xdr:sp macro="" textlink="">
      <xdr:nvSpPr>
        <xdr:cNvPr id="23591" name="Text Box 39">
          <a:extLst>
            <a:ext uri="{FF2B5EF4-FFF2-40B4-BE49-F238E27FC236}">
              <a16:creationId xmlns:a16="http://schemas.microsoft.com/office/drawing/2014/main" id="{00000000-0008-0000-0300-0000275C0000}"/>
            </a:ext>
          </a:extLst>
        </xdr:cNvPr>
        <xdr:cNvSpPr txBox="1">
          <a:spLocks noChangeArrowheads="1"/>
        </xdr:cNvSpPr>
      </xdr:nvSpPr>
      <xdr:spPr bwMode="auto">
        <a:xfrm>
          <a:off x="6629400" y="10706100"/>
          <a:ext cx="323850" cy="238125"/>
        </a:xfrm>
        <a:prstGeom prst="rect">
          <a:avLst/>
        </a:prstGeom>
        <a:solidFill>
          <a:srgbClr val="FF99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Não</a:t>
          </a:r>
        </a:p>
      </xdr:txBody>
    </xdr:sp>
    <xdr:clientData/>
  </xdr:twoCellAnchor>
  <xdr:twoCellAnchor>
    <xdr:from>
      <xdr:col>14</xdr:col>
      <xdr:colOff>0</xdr:colOff>
      <xdr:row>59</xdr:row>
      <xdr:rowOff>85725</xdr:rowOff>
    </xdr:from>
    <xdr:to>
      <xdr:col>14</xdr:col>
      <xdr:colOff>323850</xdr:colOff>
      <xdr:row>61</xdr:row>
      <xdr:rowOff>0</xdr:rowOff>
    </xdr:to>
    <xdr:sp macro="" textlink="">
      <xdr:nvSpPr>
        <xdr:cNvPr id="23592" name="Text Box 40">
          <a:extLst>
            <a:ext uri="{FF2B5EF4-FFF2-40B4-BE49-F238E27FC236}">
              <a16:creationId xmlns:a16="http://schemas.microsoft.com/office/drawing/2014/main" id="{00000000-0008-0000-0300-0000285C0000}"/>
            </a:ext>
          </a:extLst>
        </xdr:cNvPr>
        <xdr:cNvSpPr txBox="1">
          <a:spLocks noChangeArrowheads="1"/>
        </xdr:cNvSpPr>
      </xdr:nvSpPr>
      <xdr:spPr bwMode="auto">
        <a:xfrm>
          <a:off x="7972425" y="9639300"/>
          <a:ext cx="323850" cy="238125"/>
        </a:xfrm>
        <a:prstGeom prst="rect">
          <a:avLst/>
        </a:prstGeom>
        <a:solidFill>
          <a:srgbClr val="FF99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Sim</a:t>
          </a:r>
        </a:p>
      </xdr:txBody>
    </xdr:sp>
    <xdr:clientData/>
  </xdr:twoCellAnchor>
  <xdr:twoCellAnchor>
    <xdr:from>
      <xdr:col>7</xdr:col>
      <xdr:colOff>247650</xdr:colOff>
      <xdr:row>73</xdr:row>
      <xdr:rowOff>142875</xdr:rowOff>
    </xdr:from>
    <xdr:to>
      <xdr:col>10</xdr:col>
      <xdr:colOff>447675</xdr:colOff>
      <xdr:row>78</xdr:row>
      <xdr:rowOff>104775</xdr:rowOff>
    </xdr:to>
    <xdr:sp macro="" textlink="">
      <xdr:nvSpPr>
        <xdr:cNvPr id="23596" name="Text Box 44">
          <a:extLst>
            <a:ext uri="{FF2B5EF4-FFF2-40B4-BE49-F238E27FC236}">
              <a16:creationId xmlns:a16="http://schemas.microsoft.com/office/drawing/2014/main" id="{00000000-0008-0000-0300-00002C5C0000}"/>
            </a:ext>
          </a:extLst>
        </xdr:cNvPr>
        <xdr:cNvSpPr txBox="1">
          <a:spLocks noChangeArrowheads="1"/>
        </xdr:cNvSpPr>
      </xdr:nvSpPr>
      <xdr:spPr bwMode="auto">
        <a:xfrm>
          <a:off x="3952875" y="11963400"/>
          <a:ext cx="2028825" cy="7715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Caso existam fogos com um conjunto de aparelhos a gás distinto, colocar a respectiva descrição no bloco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</a:t>
          </a:r>
        </a:p>
      </xdr:txBody>
    </xdr:sp>
    <xdr:clientData/>
  </xdr:twoCellAnchor>
  <xdr:twoCellAnchor>
    <xdr:from>
      <xdr:col>14</xdr:col>
      <xdr:colOff>85725</xdr:colOff>
      <xdr:row>61</xdr:row>
      <xdr:rowOff>66675</xdr:rowOff>
    </xdr:from>
    <xdr:to>
      <xdr:col>16</xdr:col>
      <xdr:colOff>152400</xdr:colOff>
      <xdr:row>62</xdr:row>
      <xdr:rowOff>38100</xdr:rowOff>
    </xdr:to>
    <xdr:sp macro="" textlink="">
      <xdr:nvSpPr>
        <xdr:cNvPr id="119615" name="Rectangle 46">
          <a:extLst>
            <a:ext uri="{FF2B5EF4-FFF2-40B4-BE49-F238E27FC236}">
              <a16:creationId xmlns:a16="http://schemas.microsoft.com/office/drawing/2014/main" id="{00000000-0008-0000-0300-00003FD30100}"/>
            </a:ext>
          </a:extLst>
        </xdr:cNvPr>
        <xdr:cNvSpPr>
          <a:spLocks noChangeArrowheads="1"/>
        </xdr:cNvSpPr>
      </xdr:nvSpPr>
      <xdr:spPr bwMode="auto">
        <a:xfrm>
          <a:off x="8058150" y="9944100"/>
          <a:ext cx="1285875" cy="13335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28575</xdr:colOff>
      <xdr:row>61</xdr:row>
      <xdr:rowOff>66675</xdr:rowOff>
    </xdr:from>
    <xdr:to>
      <xdr:col>16</xdr:col>
      <xdr:colOff>161925</xdr:colOff>
      <xdr:row>62</xdr:row>
      <xdr:rowOff>123825</xdr:rowOff>
    </xdr:to>
    <xdr:sp macro="" textlink="">
      <xdr:nvSpPr>
        <xdr:cNvPr id="119616" name="Rectangle 47">
          <a:extLst>
            <a:ext uri="{FF2B5EF4-FFF2-40B4-BE49-F238E27FC236}">
              <a16:creationId xmlns:a16="http://schemas.microsoft.com/office/drawing/2014/main" id="{00000000-0008-0000-0300-000040D30100}"/>
            </a:ext>
          </a:extLst>
        </xdr:cNvPr>
        <xdr:cNvSpPr>
          <a:spLocks noChangeArrowheads="1"/>
        </xdr:cNvSpPr>
      </xdr:nvSpPr>
      <xdr:spPr bwMode="auto">
        <a:xfrm>
          <a:off x="9220200" y="9944100"/>
          <a:ext cx="133350" cy="21907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28575</xdr:colOff>
      <xdr:row>62</xdr:row>
      <xdr:rowOff>142875</xdr:rowOff>
    </xdr:from>
    <xdr:to>
      <xdr:col>16</xdr:col>
      <xdr:colOff>161925</xdr:colOff>
      <xdr:row>64</xdr:row>
      <xdr:rowOff>104775</xdr:rowOff>
    </xdr:to>
    <xdr:sp macro="" textlink="">
      <xdr:nvSpPr>
        <xdr:cNvPr id="119617" name="AutoShape 48">
          <a:extLst>
            <a:ext uri="{FF2B5EF4-FFF2-40B4-BE49-F238E27FC236}">
              <a16:creationId xmlns:a16="http://schemas.microsoft.com/office/drawing/2014/main" id="{00000000-0008-0000-0300-000041D30100}"/>
            </a:ext>
          </a:extLst>
        </xdr:cNvPr>
        <xdr:cNvSpPr>
          <a:spLocks noChangeArrowheads="1"/>
        </xdr:cNvSpPr>
      </xdr:nvSpPr>
      <xdr:spPr bwMode="auto">
        <a:xfrm rot="5400000">
          <a:off x="9144000" y="10258425"/>
          <a:ext cx="285750" cy="133350"/>
        </a:xfrm>
        <a:prstGeom prst="homePlate">
          <a:avLst>
            <a:gd name="adj" fmla="val 83343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285750</xdr:colOff>
      <xdr:row>73</xdr:row>
      <xdr:rowOff>142875</xdr:rowOff>
    </xdr:from>
    <xdr:to>
      <xdr:col>12</xdr:col>
      <xdr:colOff>409575</xdr:colOff>
      <xdr:row>77</xdr:row>
      <xdr:rowOff>28575</xdr:rowOff>
    </xdr:to>
    <xdr:sp macro="" textlink="">
      <xdr:nvSpPr>
        <xdr:cNvPr id="119618" name="AutoShape 49">
          <a:extLst>
            <a:ext uri="{FF2B5EF4-FFF2-40B4-BE49-F238E27FC236}">
              <a16:creationId xmlns:a16="http://schemas.microsoft.com/office/drawing/2014/main" id="{00000000-0008-0000-0300-000042D30100}"/>
            </a:ext>
          </a:extLst>
        </xdr:cNvPr>
        <xdr:cNvSpPr>
          <a:spLocks noChangeArrowheads="1"/>
        </xdr:cNvSpPr>
      </xdr:nvSpPr>
      <xdr:spPr bwMode="auto">
        <a:xfrm rot="5400000">
          <a:off x="6834188" y="12168187"/>
          <a:ext cx="533400" cy="123825"/>
        </a:xfrm>
        <a:prstGeom prst="homePlate">
          <a:avLst>
            <a:gd name="adj" fmla="val 60826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285750</xdr:colOff>
      <xdr:row>66</xdr:row>
      <xdr:rowOff>142875</xdr:rowOff>
    </xdr:from>
    <xdr:to>
      <xdr:col>12</xdr:col>
      <xdr:colOff>419100</xdr:colOff>
      <xdr:row>67</xdr:row>
      <xdr:rowOff>133350</xdr:rowOff>
    </xdr:to>
    <xdr:sp macro="" textlink="">
      <xdr:nvSpPr>
        <xdr:cNvPr id="119619" name="Rectangle 50">
          <a:extLst>
            <a:ext uri="{FF2B5EF4-FFF2-40B4-BE49-F238E27FC236}">
              <a16:creationId xmlns:a16="http://schemas.microsoft.com/office/drawing/2014/main" id="{00000000-0008-0000-0300-000043D30100}"/>
            </a:ext>
          </a:extLst>
        </xdr:cNvPr>
        <xdr:cNvSpPr>
          <a:spLocks noChangeArrowheads="1"/>
        </xdr:cNvSpPr>
      </xdr:nvSpPr>
      <xdr:spPr bwMode="auto">
        <a:xfrm>
          <a:off x="7038975" y="10829925"/>
          <a:ext cx="133350" cy="15240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285750</xdr:colOff>
      <xdr:row>67</xdr:row>
      <xdr:rowOff>152400</xdr:rowOff>
    </xdr:from>
    <xdr:to>
      <xdr:col>12</xdr:col>
      <xdr:colOff>419100</xdr:colOff>
      <xdr:row>69</xdr:row>
      <xdr:rowOff>95250</xdr:rowOff>
    </xdr:to>
    <xdr:sp macro="" textlink="">
      <xdr:nvSpPr>
        <xdr:cNvPr id="119620" name="AutoShape 51">
          <a:extLst>
            <a:ext uri="{FF2B5EF4-FFF2-40B4-BE49-F238E27FC236}">
              <a16:creationId xmlns:a16="http://schemas.microsoft.com/office/drawing/2014/main" id="{00000000-0008-0000-0300-000044D30100}"/>
            </a:ext>
          </a:extLst>
        </xdr:cNvPr>
        <xdr:cNvSpPr>
          <a:spLocks noChangeArrowheads="1"/>
        </xdr:cNvSpPr>
      </xdr:nvSpPr>
      <xdr:spPr bwMode="auto">
        <a:xfrm rot="5400000">
          <a:off x="6972300" y="11068050"/>
          <a:ext cx="266700" cy="133350"/>
        </a:xfrm>
        <a:prstGeom prst="homePlate">
          <a:avLst>
            <a:gd name="adj" fmla="val 77787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19050</xdr:colOff>
      <xdr:row>69</xdr:row>
      <xdr:rowOff>104775</xdr:rowOff>
    </xdr:from>
    <xdr:to>
      <xdr:col>16</xdr:col>
      <xdr:colOff>152400</xdr:colOff>
      <xdr:row>71</xdr:row>
      <xdr:rowOff>114300</xdr:rowOff>
    </xdr:to>
    <xdr:sp macro="" textlink="">
      <xdr:nvSpPr>
        <xdr:cNvPr id="119621" name="Rectangle 52">
          <a:extLst>
            <a:ext uri="{FF2B5EF4-FFF2-40B4-BE49-F238E27FC236}">
              <a16:creationId xmlns:a16="http://schemas.microsoft.com/office/drawing/2014/main" id="{00000000-0008-0000-0300-000045D30100}"/>
            </a:ext>
          </a:extLst>
        </xdr:cNvPr>
        <xdr:cNvSpPr>
          <a:spLocks noChangeArrowheads="1"/>
        </xdr:cNvSpPr>
      </xdr:nvSpPr>
      <xdr:spPr bwMode="auto">
        <a:xfrm>
          <a:off x="9210675" y="11277600"/>
          <a:ext cx="133350" cy="33337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371475</xdr:colOff>
      <xdr:row>70</xdr:row>
      <xdr:rowOff>142875</xdr:rowOff>
    </xdr:from>
    <xdr:to>
      <xdr:col>15</xdr:col>
      <xdr:colOff>104775</xdr:colOff>
      <xdr:row>71</xdr:row>
      <xdr:rowOff>114300</xdr:rowOff>
    </xdr:to>
    <xdr:sp macro="" textlink="">
      <xdr:nvSpPr>
        <xdr:cNvPr id="119622" name="AutoShape 53">
          <a:extLst>
            <a:ext uri="{FF2B5EF4-FFF2-40B4-BE49-F238E27FC236}">
              <a16:creationId xmlns:a16="http://schemas.microsoft.com/office/drawing/2014/main" id="{00000000-0008-0000-0300-000046D30100}"/>
            </a:ext>
          </a:extLst>
        </xdr:cNvPr>
        <xdr:cNvSpPr>
          <a:spLocks noChangeArrowheads="1"/>
        </xdr:cNvSpPr>
      </xdr:nvSpPr>
      <xdr:spPr bwMode="auto">
        <a:xfrm rot="10738461">
          <a:off x="8343900" y="11477625"/>
          <a:ext cx="342900" cy="133350"/>
        </a:xfrm>
        <a:prstGeom prst="homePlate">
          <a:avLst>
            <a:gd name="adj" fmla="val 100012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15</xdr:col>
      <xdr:colOff>133350</xdr:colOff>
      <xdr:row>70</xdr:row>
      <xdr:rowOff>142875</xdr:rowOff>
    </xdr:from>
    <xdr:to>
      <xdr:col>16</xdr:col>
      <xdr:colOff>76200</xdr:colOff>
      <xdr:row>71</xdr:row>
      <xdr:rowOff>114300</xdr:rowOff>
    </xdr:to>
    <xdr:sp macro="" textlink="">
      <xdr:nvSpPr>
        <xdr:cNvPr id="119623" name="Rectangle 54">
          <a:extLst>
            <a:ext uri="{FF2B5EF4-FFF2-40B4-BE49-F238E27FC236}">
              <a16:creationId xmlns:a16="http://schemas.microsoft.com/office/drawing/2014/main" id="{00000000-0008-0000-0300-000047D30100}"/>
            </a:ext>
          </a:extLst>
        </xdr:cNvPr>
        <xdr:cNvSpPr>
          <a:spLocks noChangeArrowheads="1"/>
        </xdr:cNvSpPr>
      </xdr:nvSpPr>
      <xdr:spPr bwMode="auto">
        <a:xfrm rot="5400000">
          <a:off x="8924925" y="11268075"/>
          <a:ext cx="133350" cy="55245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371475</xdr:colOff>
      <xdr:row>79</xdr:row>
      <xdr:rowOff>133350</xdr:rowOff>
    </xdr:from>
    <xdr:to>
      <xdr:col>10</xdr:col>
      <xdr:colOff>323850</xdr:colOff>
      <xdr:row>80</xdr:row>
      <xdr:rowOff>114300</xdr:rowOff>
    </xdr:to>
    <xdr:sp macro="" textlink="">
      <xdr:nvSpPr>
        <xdr:cNvPr id="119624" name="Rectangle 55">
          <a:extLst>
            <a:ext uri="{FF2B5EF4-FFF2-40B4-BE49-F238E27FC236}">
              <a16:creationId xmlns:a16="http://schemas.microsoft.com/office/drawing/2014/main" id="{00000000-0008-0000-0300-000048D30100}"/>
            </a:ext>
          </a:extLst>
        </xdr:cNvPr>
        <xdr:cNvSpPr>
          <a:spLocks noChangeArrowheads="1"/>
        </xdr:cNvSpPr>
      </xdr:nvSpPr>
      <xdr:spPr bwMode="auto">
        <a:xfrm>
          <a:off x="5295900" y="12925425"/>
          <a:ext cx="561975" cy="14287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361950</xdr:colOff>
      <xdr:row>79</xdr:row>
      <xdr:rowOff>123825</xdr:rowOff>
    </xdr:from>
    <xdr:to>
      <xdr:col>11</xdr:col>
      <xdr:colOff>95250</xdr:colOff>
      <xdr:row>80</xdr:row>
      <xdr:rowOff>104775</xdr:rowOff>
    </xdr:to>
    <xdr:sp macro="" textlink="">
      <xdr:nvSpPr>
        <xdr:cNvPr id="119625" name="AutoShape 56">
          <a:extLst>
            <a:ext uri="{FF2B5EF4-FFF2-40B4-BE49-F238E27FC236}">
              <a16:creationId xmlns:a16="http://schemas.microsoft.com/office/drawing/2014/main" id="{00000000-0008-0000-0300-000049D30100}"/>
            </a:ext>
          </a:extLst>
        </xdr:cNvPr>
        <xdr:cNvSpPr>
          <a:spLocks noChangeArrowheads="1"/>
        </xdr:cNvSpPr>
      </xdr:nvSpPr>
      <xdr:spPr bwMode="auto">
        <a:xfrm rot="10738461">
          <a:off x="5895975" y="12915900"/>
          <a:ext cx="342900" cy="142875"/>
        </a:xfrm>
        <a:prstGeom prst="homePlate">
          <a:avLst>
            <a:gd name="adj" fmla="val 93344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371475</xdr:colOff>
      <xdr:row>78</xdr:row>
      <xdr:rowOff>123825</xdr:rowOff>
    </xdr:from>
    <xdr:to>
      <xdr:col>9</xdr:col>
      <xdr:colOff>504825</xdr:colOff>
      <xdr:row>80</xdr:row>
      <xdr:rowOff>85725</xdr:rowOff>
    </xdr:to>
    <xdr:sp macro="" textlink="">
      <xdr:nvSpPr>
        <xdr:cNvPr id="119626" name="AutoShape 57">
          <a:extLst>
            <a:ext uri="{FF2B5EF4-FFF2-40B4-BE49-F238E27FC236}">
              <a16:creationId xmlns:a16="http://schemas.microsoft.com/office/drawing/2014/main" id="{00000000-0008-0000-0300-00004AD30100}"/>
            </a:ext>
          </a:extLst>
        </xdr:cNvPr>
        <xdr:cNvSpPr>
          <a:spLocks noChangeArrowheads="1"/>
        </xdr:cNvSpPr>
      </xdr:nvSpPr>
      <xdr:spPr bwMode="auto">
        <a:xfrm rot="-5316749">
          <a:off x="5219700" y="12830175"/>
          <a:ext cx="285750" cy="133350"/>
        </a:xfrm>
        <a:prstGeom prst="homePlate">
          <a:avLst>
            <a:gd name="adj" fmla="val 83343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361950</xdr:colOff>
      <xdr:row>68</xdr:row>
      <xdr:rowOff>114300</xdr:rowOff>
    </xdr:from>
    <xdr:to>
      <xdr:col>9</xdr:col>
      <xdr:colOff>504825</xdr:colOff>
      <xdr:row>73</xdr:row>
      <xdr:rowOff>104775</xdr:rowOff>
    </xdr:to>
    <xdr:sp macro="" textlink="">
      <xdr:nvSpPr>
        <xdr:cNvPr id="119627" name="Rectangle 58">
          <a:extLst>
            <a:ext uri="{FF2B5EF4-FFF2-40B4-BE49-F238E27FC236}">
              <a16:creationId xmlns:a16="http://schemas.microsoft.com/office/drawing/2014/main" id="{00000000-0008-0000-0300-00004BD30100}"/>
            </a:ext>
          </a:extLst>
        </xdr:cNvPr>
        <xdr:cNvSpPr>
          <a:spLocks noChangeArrowheads="1"/>
        </xdr:cNvSpPr>
      </xdr:nvSpPr>
      <xdr:spPr bwMode="auto">
        <a:xfrm>
          <a:off x="5286375" y="11125200"/>
          <a:ext cx="142875" cy="80010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371475</xdr:colOff>
      <xdr:row>66</xdr:row>
      <xdr:rowOff>123825</xdr:rowOff>
    </xdr:from>
    <xdr:to>
      <xdr:col>9</xdr:col>
      <xdr:colOff>504825</xdr:colOff>
      <xdr:row>68</xdr:row>
      <xdr:rowOff>85725</xdr:rowOff>
    </xdr:to>
    <xdr:sp macro="" textlink="">
      <xdr:nvSpPr>
        <xdr:cNvPr id="119628" name="AutoShape 59">
          <a:extLst>
            <a:ext uri="{FF2B5EF4-FFF2-40B4-BE49-F238E27FC236}">
              <a16:creationId xmlns:a16="http://schemas.microsoft.com/office/drawing/2014/main" id="{00000000-0008-0000-0300-00004CD30100}"/>
            </a:ext>
          </a:extLst>
        </xdr:cNvPr>
        <xdr:cNvSpPr>
          <a:spLocks noChangeArrowheads="1"/>
        </xdr:cNvSpPr>
      </xdr:nvSpPr>
      <xdr:spPr bwMode="auto">
        <a:xfrm rot="-5316749">
          <a:off x="5219700" y="10887075"/>
          <a:ext cx="285750" cy="133350"/>
        </a:xfrm>
        <a:prstGeom prst="homePlate">
          <a:avLst>
            <a:gd name="adj" fmla="val 83343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371475</xdr:colOff>
      <xdr:row>61</xdr:row>
      <xdr:rowOff>57150</xdr:rowOff>
    </xdr:from>
    <xdr:to>
      <xdr:col>9</xdr:col>
      <xdr:colOff>514350</xdr:colOff>
      <xdr:row>66</xdr:row>
      <xdr:rowOff>85725</xdr:rowOff>
    </xdr:to>
    <xdr:sp macro="" textlink="">
      <xdr:nvSpPr>
        <xdr:cNvPr id="119629" name="Rectangle 60">
          <a:extLst>
            <a:ext uri="{FF2B5EF4-FFF2-40B4-BE49-F238E27FC236}">
              <a16:creationId xmlns:a16="http://schemas.microsoft.com/office/drawing/2014/main" id="{00000000-0008-0000-0300-00004DD30100}"/>
            </a:ext>
          </a:extLst>
        </xdr:cNvPr>
        <xdr:cNvSpPr>
          <a:spLocks noChangeArrowheads="1"/>
        </xdr:cNvSpPr>
      </xdr:nvSpPr>
      <xdr:spPr bwMode="auto">
        <a:xfrm>
          <a:off x="5295900" y="9934575"/>
          <a:ext cx="142875" cy="83820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381000</xdr:colOff>
      <xdr:row>61</xdr:row>
      <xdr:rowOff>57150</xdr:rowOff>
    </xdr:from>
    <xdr:to>
      <xdr:col>10</xdr:col>
      <xdr:colOff>342900</xdr:colOff>
      <xdr:row>62</xdr:row>
      <xdr:rowOff>47625</xdr:rowOff>
    </xdr:to>
    <xdr:sp macro="" textlink="">
      <xdr:nvSpPr>
        <xdr:cNvPr id="119630" name="Rectangle 61">
          <a:extLst>
            <a:ext uri="{FF2B5EF4-FFF2-40B4-BE49-F238E27FC236}">
              <a16:creationId xmlns:a16="http://schemas.microsoft.com/office/drawing/2014/main" id="{00000000-0008-0000-0300-00004ED30100}"/>
            </a:ext>
          </a:extLst>
        </xdr:cNvPr>
        <xdr:cNvSpPr>
          <a:spLocks noChangeArrowheads="1"/>
        </xdr:cNvSpPr>
      </xdr:nvSpPr>
      <xdr:spPr bwMode="auto">
        <a:xfrm>
          <a:off x="5305425" y="9934575"/>
          <a:ext cx="571500" cy="15240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371475</xdr:colOff>
      <xdr:row>61</xdr:row>
      <xdr:rowOff>57150</xdr:rowOff>
    </xdr:from>
    <xdr:to>
      <xdr:col>11</xdr:col>
      <xdr:colOff>47625</xdr:colOff>
      <xdr:row>62</xdr:row>
      <xdr:rowOff>47625</xdr:rowOff>
    </xdr:to>
    <xdr:sp macro="" textlink="">
      <xdr:nvSpPr>
        <xdr:cNvPr id="119631" name="AutoShape 62">
          <a:extLst>
            <a:ext uri="{FF2B5EF4-FFF2-40B4-BE49-F238E27FC236}">
              <a16:creationId xmlns:a16="http://schemas.microsoft.com/office/drawing/2014/main" id="{00000000-0008-0000-0300-00004FD30100}"/>
            </a:ext>
          </a:extLst>
        </xdr:cNvPr>
        <xdr:cNvSpPr>
          <a:spLocks noChangeArrowheads="1"/>
        </xdr:cNvSpPr>
      </xdr:nvSpPr>
      <xdr:spPr bwMode="auto">
        <a:xfrm rot="-25847">
          <a:off x="5905500" y="9934575"/>
          <a:ext cx="285750" cy="152400"/>
        </a:xfrm>
        <a:prstGeom prst="homePlate">
          <a:avLst>
            <a:gd name="adj" fmla="val 72925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419100</xdr:colOff>
      <xdr:row>64</xdr:row>
      <xdr:rowOff>142875</xdr:rowOff>
    </xdr:from>
    <xdr:to>
      <xdr:col>18</xdr:col>
      <xdr:colOff>457200</xdr:colOff>
      <xdr:row>69</xdr:row>
      <xdr:rowOff>66675</xdr:rowOff>
    </xdr:to>
    <xdr:sp macro="" textlink="">
      <xdr:nvSpPr>
        <xdr:cNvPr id="23616" name="Text Box 64">
          <a:extLst>
            <a:ext uri="{FF2B5EF4-FFF2-40B4-BE49-F238E27FC236}">
              <a16:creationId xmlns:a16="http://schemas.microsoft.com/office/drawing/2014/main" id="{00000000-0008-0000-0300-0000405C0000}"/>
            </a:ext>
          </a:extLst>
        </xdr:cNvPr>
        <xdr:cNvSpPr txBox="1">
          <a:spLocks noChangeArrowheads="1"/>
        </xdr:cNvSpPr>
      </xdr:nvSpPr>
      <xdr:spPr bwMode="auto">
        <a:xfrm>
          <a:off x="8391525" y="10506075"/>
          <a:ext cx="2476500" cy="7334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Ir ao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personalizar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lista de aparelhos a gás, introduzindo informação descritiva do(s) novo(s) aparelho(s) e respectiva(s) potência(s)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em kW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</xdr:txBody>
    </xdr:sp>
    <xdr:clientData/>
  </xdr:twoCellAnchor>
  <xdr:twoCellAnchor>
    <xdr:from>
      <xdr:col>11</xdr:col>
      <xdr:colOff>123825</xdr:colOff>
      <xdr:row>77</xdr:row>
      <xdr:rowOff>57150</xdr:rowOff>
    </xdr:from>
    <xdr:to>
      <xdr:col>14</xdr:col>
      <xdr:colOff>142875</xdr:colOff>
      <xdr:row>82</xdr:row>
      <xdr:rowOff>152400</xdr:rowOff>
    </xdr:to>
    <xdr:sp macro="" textlink="">
      <xdr:nvSpPr>
        <xdr:cNvPr id="23617" name="Text Box 65">
          <a:extLst>
            <a:ext uri="{FF2B5EF4-FFF2-40B4-BE49-F238E27FC236}">
              <a16:creationId xmlns:a16="http://schemas.microsoft.com/office/drawing/2014/main" id="{00000000-0008-0000-0300-0000415C0000}"/>
            </a:ext>
          </a:extLst>
        </xdr:cNvPr>
        <xdr:cNvSpPr txBox="1">
          <a:spLocks noChangeArrowheads="1"/>
        </xdr:cNvSpPr>
      </xdr:nvSpPr>
      <xdr:spPr bwMode="auto">
        <a:xfrm>
          <a:off x="6267450" y="12525375"/>
          <a:ext cx="1847850" cy="9048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Cada aparelho a gás é automaticamente codificado como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até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A5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no caso do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A6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A7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até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A10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no caso do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 </a:t>
          </a:r>
        </a:p>
      </xdr:txBody>
    </xdr:sp>
    <xdr:clientData/>
  </xdr:twoCellAnchor>
  <xdr:twoCellAnchor>
    <xdr:from>
      <xdr:col>1</xdr:col>
      <xdr:colOff>247650</xdr:colOff>
      <xdr:row>61</xdr:row>
      <xdr:rowOff>38100</xdr:rowOff>
    </xdr:from>
    <xdr:to>
      <xdr:col>8</xdr:col>
      <xdr:colOff>400050</xdr:colOff>
      <xdr:row>65</xdr:row>
      <xdr:rowOff>19050</xdr:rowOff>
    </xdr:to>
    <xdr:grpSp>
      <xdr:nvGrpSpPr>
        <xdr:cNvPr id="119634" name="Group 66">
          <a:extLst>
            <a:ext uri="{FF2B5EF4-FFF2-40B4-BE49-F238E27FC236}">
              <a16:creationId xmlns:a16="http://schemas.microsoft.com/office/drawing/2014/main" id="{00000000-0008-0000-0300-000052D30100}"/>
            </a:ext>
          </a:extLst>
        </xdr:cNvPr>
        <xdr:cNvGrpSpPr>
          <a:grpSpLocks/>
        </xdr:cNvGrpSpPr>
      </xdr:nvGrpSpPr>
      <xdr:grpSpPr bwMode="auto">
        <a:xfrm>
          <a:off x="297131" y="9696697"/>
          <a:ext cx="4724400" cy="614301"/>
          <a:chOff x="29" y="530"/>
          <a:chExt cx="464" cy="66"/>
        </a:xfrm>
      </xdr:grpSpPr>
      <xdr:sp macro="" textlink="">
        <xdr:nvSpPr>
          <xdr:cNvPr id="119691" name="AutoShape 67">
            <a:extLst>
              <a:ext uri="{FF2B5EF4-FFF2-40B4-BE49-F238E27FC236}">
                <a16:creationId xmlns:a16="http://schemas.microsoft.com/office/drawing/2014/main" id="{00000000-0008-0000-0300-00008BD30100}"/>
              </a:ext>
            </a:extLst>
          </xdr:cNvPr>
          <xdr:cNvSpPr>
            <a:spLocks noChangeArrowheads="1"/>
          </xdr:cNvSpPr>
        </xdr:nvSpPr>
        <xdr:spPr bwMode="auto">
          <a:xfrm>
            <a:off x="404" y="530"/>
            <a:ext cx="89" cy="46"/>
          </a:xfrm>
          <a:prstGeom prst="homePlate">
            <a:avLst>
              <a:gd name="adj" fmla="val 48370"/>
            </a:avLst>
          </a:prstGeom>
          <a:gradFill rotWithShape="0">
            <a:gsLst>
              <a:gs pos="0">
                <a:schemeClr val="accent6">
                  <a:lumMod val="75000"/>
                </a:schemeClr>
              </a:gs>
              <a:gs pos="100000">
                <a:schemeClr val="accent6">
                  <a:lumMod val="40000"/>
                  <a:lumOff val="60000"/>
                </a:schemeClr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620" name="Text Box 68">
            <a:extLst>
              <a:ext uri="{FF2B5EF4-FFF2-40B4-BE49-F238E27FC236}">
                <a16:creationId xmlns:a16="http://schemas.microsoft.com/office/drawing/2014/main" id="{00000000-0008-0000-0300-0000445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" y="530"/>
            <a:ext cx="392" cy="66"/>
          </a:xfrm>
          <a:prstGeom prst="rect">
            <a:avLst/>
          </a:prstGeom>
          <a:gradFill rotWithShape="0">
            <a:gsLst>
              <a:gs pos="0">
                <a:schemeClr val="accent6">
                  <a:lumMod val="75000"/>
                </a:schemeClr>
              </a:gs>
              <a:gs pos="100000">
                <a:schemeClr val="accent6">
                  <a:lumMod val="40000"/>
                  <a:lumOff val="60000"/>
                </a:schemeClr>
              </a:gs>
            </a:gsLst>
            <a:lin ang="5400000" scaled="1"/>
          </a:gradFill>
          <a:ln w="9525">
            <a:noFill/>
            <a:miter lim="800000"/>
            <a:headEnd/>
            <a:tailEnd/>
          </a:ln>
        </xdr:spPr>
        <xdr:txBody>
          <a:bodyPr vertOverflow="clip" wrap="square" lIns="36576" tIns="27432" rIns="36576" bIns="27432" anchor="ctr" upright="1"/>
          <a:lstStyle/>
          <a:p>
            <a:pPr algn="just" rtl="0">
              <a:defRPr sz="1000"/>
            </a:pPr>
            <a:r>
              <a:rPr lang="pt-PT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Passo 2 (blocos "Fogo tipo 1" e "Fogo tipo 2"):</a:t>
            </a: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  <a:p>
            <a:pPr algn="just" rtl="0">
              <a:defRPr sz="1000"/>
            </a:pPr>
            <a:r>
              <a:rPr lang="pt-PT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Especificação e estruturação do conjunto de aparelhos a gás a serem abastecidos em cada fogo.</a:t>
            </a:r>
          </a:p>
        </xdr:txBody>
      </xdr:sp>
    </xdr:grpSp>
    <xdr:clientData/>
  </xdr:twoCellAnchor>
  <xdr:twoCellAnchor>
    <xdr:from>
      <xdr:col>12</xdr:col>
      <xdr:colOff>285750</xdr:colOff>
      <xdr:row>83</xdr:row>
      <xdr:rowOff>19050</xdr:rowOff>
    </xdr:from>
    <xdr:to>
      <xdr:col>12</xdr:col>
      <xdr:colOff>419100</xdr:colOff>
      <xdr:row>85</xdr:row>
      <xdr:rowOff>57150</xdr:rowOff>
    </xdr:to>
    <xdr:grpSp>
      <xdr:nvGrpSpPr>
        <xdr:cNvPr id="119635" name="Group 69">
          <a:extLst>
            <a:ext uri="{FF2B5EF4-FFF2-40B4-BE49-F238E27FC236}">
              <a16:creationId xmlns:a16="http://schemas.microsoft.com/office/drawing/2014/main" id="{00000000-0008-0000-0300-000053D30100}"/>
            </a:ext>
          </a:extLst>
        </xdr:cNvPr>
        <xdr:cNvGrpSpPr>
          <a:grpSpLocks/>
        </xdr:cNvGrpSpPr>
      </xdr:nvGrpSpPr>
      <xdr:grpSpPr bwMode="auto">
        <a:xfrm>
          <a:off x="7519802" y="13161076"/>
          <a:ext cx="133350" cy="354775"/>
          <a:chOff x="729" y="884"/>
          <a:chExt cx="14" cy="38"/>
        </a:xfrm>
      </xdr:grpSpPr>
      <xdr:sp macro="" textlink="">
        <xdr:nvSpPr>
          <xdr:cNvPr id="119689" name="AutoShape 70">
            <a:extLst>
              <a:ext uri="{FF2B5EF4-FFF2-40B4-BE49-F238E27FC236}">
                <a16:creationId xmlns:a16="http://schemas.microsoft.com/office/drawing/2014/main" id="{00000000-0008-0000-0300-000089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26" y="887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690" name="AutoShape 71">
            <a:extLst>
              <a:ext uri="{FF2B5EF4-FFF2-40B4-BE49-F238E27FC236}">
                <a16:creationId xmlns:a16="http://schemas.microsoft.com/office/drawing/2014/main" id="{00000000-0008-0000-0300-00008A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25" y="904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17</xdr:col>
      <xdr:colOff>47625</xdr:colOff>
      <xdr:row>48</xdr:row>
      <xdr:rowOff>142875</xdr:rowOff>
    </xdr:from>
    <xdr:to>
      <xdr:col>21</xdr:col>
      <xdr:colOff>400050</xdr:colOff>
      <xdr:row>61</xdr:row>
      <xdr:rowOff>47625</xdr:rowOff>
    </xdr:to>
    <xdr:sp macro="" textlink="">
      <xdr:nvSpPr>
        <xdr:cNvPr id="23625" name="Text Box 73">
          <a:extLst>
            <a:ext uri="{FF2B5EF4-FFF2-40B4-BE49-F238E27FC236}">
              <a16:creationId xmlns:a16="http://schemas.microsoft.com/office/drawing/2014/main" id="{00000000-0008-0000-0300-0000495C0000}"/>
            </a:ext>
          </a:extLst>
        </xdr:cNvPr>
        <xdr:cNvSpPr txBox="1">
          <a:spLocks noChangeArrowheads="1"/>
        </xdr:cNvSpPr>
      </xdr:nvSpPr>
      <xdr:spPr bwMode="auto">
        <a:xfrm>
          <a:off x="9848850" y="7915275"/>
          <a:ext cx="2790825" cy="2009775"/>
        </a:xfrm>
        <a:prstGeom prst="rect">
          <a:avLst/>
        </a:prstGeom>
        <a:solidFill>
          <a:srgbClr val="EAEAEA"/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 conceito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fogos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tipo 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refere-se ao conjunto e características dos aparelhos a gás que equipam um determinado fogo, isto é,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qual potência instalada nesse fogo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just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Por exemplo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se todos os fogos do edifício em análise possuem o mesmo tipo e quantidade de aparelhos a gás, então conclui-se que apenas existe um fogo tipo, a ser designado como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 </a:t>
          </a:r>
        </a:p>
        <a:p>
          <a:pPr algn="just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Nota: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esta folha de cálculo permite a análise directa de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tipos de Fogo. </a:t>
          </a:r>
        </a:p>
      </xdr:txBody>
    </xdr:sp>
    <xdr:clientData/>
  </xdr:twoCellAnchor>
  <xdr:twoCellAnchor>
    <xdr:from>
      <xdr:col>9</xdr:col>
      <xdr:colOff>314325</xdr:colOff>
      <xdr:row>48</xdr:row>
      <xdr:rowOff>104775</xdr:rowOff>
    </xdr:from>
    <xdr:to>
      <xdr:col>16</xdr:col>
      <xdr:colOff>561975</xdr:colOff>
      <xdr:row>55</xdr:row>
      <xdr:rowOff>38100</xdr:rowOff>
    </xdr:to>
    <xdr:sp macro="" textlink="">
      <xdr:nvSpPr>
        <xdr:cNvPr id="23628" name="Text Box 76">
          <a:extLst>
            <a:ext uri="{FF2B5EF4-FFF2-40B4-BE49-F238E27FC236}">
              <a16:creationId xmlns:a16="http://schemas.microsoft.com/office/drawing/2014/main" id="{00000000-0008-0000-0300-00004C5C0000}"/>
            </a:ext>
          </a:extLst>
        </xdr:cNvPr>
        <xdr:cNvSpPr txBox="1">
          <a:spLocks noChangeArrowheads="1"/>
        </xdr:cNvSpPr>
      </xdr:nvSpPr>
      <xdr:spPr bwMode="auto">
        <a:xfrm>
          <a:off x="5238750" y="7877175"/>
          <a:ext cx="4514850" cy="10668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Comparar a totalidade dos fogos abastecidos pela instalação a dimensionar, em termos de quantidade e tipo de aparelhos a gás: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Se todos os Fogos possuem o mesmo tipo e quantidade de aparelhos a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gás,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apenas existe um fogo tipo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a ser designado como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Se existir um outro sub-grupo de Fogo(s) distinto do anterior, será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diferenciado como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2"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</xdr:txBody>
    </xdr:sp>
    <xdr:clientData/>
  </xdr:twoCellAnchor>
  <xdr:twoCellAnchor>
    <xdr:from>
      <xdr:col>14</xdr:col>
      <xdr:colOff>190500</xdr:colOff>
      <xdr:row>77</xdr:row>
      <xdr:rowOff>76200</xdr:rowOff>
    </xdr:from>
    <xdr:to>
      <xdr:col>16</xdr:col>
      <xdr:colOff>133350</xdr:colOff>
      <xdr:row>82</xdr:row>
      <xdr:rowOff>142875</xdr:rowOff>
    </xdr:to>
    <xdr:grpSp>
      <xdr:nvGrpSpPr>
        <xdr:cNvPr id="119638" name="Group 511">
          <a:extLst>
            <a:ext uri="{FF2B5EF4-FFF2-40B4-BE49-F238E27FC236}">
              <a16:creationId xmlns:a16="http://schemas.microsoft.com/office/drawing/2014/main" id="{00000000-0008-0000-0300-000056D30100}"/>
            </a:ext>
          </a:extLst>
        </xdr:cNvPr>
        <xdr:cNvGrpSpPr>
          <a:grpSpLocks/>
        </xdr:cNvGrpSpPr>
      </xdr:nvGrpSpPr>
      <xdr:grpSpPr bwMode="auto">
        <a:xfrm>
          <a:off x="8730837" y="12268200"/>
          <a:ext cx="1249137" cy="858363"/>
          <a:chOff x="858" y="777"/>
          <a:chExt cx="122" cy="92"/>
        </a:xfrm>
        <a:solidFill>
          <a:schemeClr val="bg2">
            <a:lumMod val="90000"/>
          </a:schemeClr>
        </a:solidFill>
      </xdr:grpSpPr>
      <xdr:sp macro="" textlink="">
        <xdr:nvSpPr>
          <xdr:cNvPr id="23855" name="Text Box 303">
            <a:extLst>
              <a:ext uri="{FF2B5EF4-FFF2-40B4-BE49-F238E27FC236}">
                <a16:creationId xmlns:a16="http://schemas.microsoft.com/office/drawing/2014/main" id="{00000000-0008-0000-0300-00002F5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58" y="777"/>
            <a:ext cx="122" cy="43"/>
          </a:xfrm>
          <a:prstGeom prst="rect">
            <a:avLst/>
          </a:prstGeom>
          <a:grpFill/>
          <a:ln w="9525">
            <a:noFill/>
            <a:prstDash val="dash"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Cálculo: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Q</a:t>
            </a:r>
            <a:r>
              <a:rPr lang="pt-PT" sz="1000" b="0" i="0" u="none" strike="noStrike" baseline="-25000">
                <a:solidFill>
                  <a:srgbClr val="000000"/>
                </a:solidFill>
                <a:latin typeface="Arial"/>
                <a:cs typeface="Arial"/>
              </a:rPr>
              <a:t>Aparelho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(m</a:t>
            </a:r>
            <a:r>
              <a:rPr lang="pt-PT" sz="1000" b="0" i="0" u="none" strike="noStrike" baseline="30000">
                <a:solidFill>
                  <a:srgbClr val="000000"/>
                </a:solidFill>
                <a:latin typeface="Arial"/>
                <a:cs typeface="Arial"/>
              </a:rPr>
              <a:t>3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(st)/h)</a:t>
            </a:r>
          </a:p>
        </xdr:txBody>
      </xdr:sp>
      <xdr:sp macro="" textlink="">
        <xdr:nvSpPr>
          <xdr:cNvPr id="23856" name="Text Box 304">
            <a:extLst>
              <a:ext uri="{FF2B5EF4-FFF2-40B4-BE49-F238E27FC236}">
                <a16:creationId xmlns:a16="http://schemas.microsoft.com/office/drawing/2014/main" id="{00000000-0008-0000-0300-0000305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58" y="827"/>
            <a:ext cx="122" cy="42"/>
          </a:xfrm>
          <a:prstGeom prst="rect">
            <a:avLst/>
          </a:prstGeom>
          <a:grpFill/>
          <a:ln w="9525">
            <a:noFill/>
            <a:prstDash val="dash"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Cálculo: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  <a:p>
            <a:pPr algn="l" rtl="0">
              <a:defRPr sz="1000"/>
            </a:pP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Q</a:t>
            </a:r>
            <a:r>
              <a:rPr lang="pt-PT" sz="1000" b="0" i="0" u="none" strike="noStrike" baseline="-25000">
                <a:solidFill>
                  <a:srgbClr val="000000"/>
                </a:solidFill>
                <a:latin typeface="Arial"/>
                <a:cs typeface="Arial"/>
              </a:rPr>
              <a:t>fogo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(m</a:t>
            </a:r>
            <a:r>
              <a:rPr lang="pt-PT" sz="1000" b="0" i="0" u="none" strike="noStrike" baseline="30000">
                <a:solidFill>
                  <a:srgbClr val="000000"/>
                </a:solidFill>
                <a:latin typeface="Arial"/>
                <a:cs typeface="Arial"/>
              </a:rPr>
              <a:t>3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(st)/h)</a:t>
            </a:r>
          </a:p>
        </xdr:txBody>
      </xdr:sp>
    </xdr:grpSp>
    <xdr:clientData/>
  </xdr:twoCellAnchor>
  <xdr:twoCellAnchor>
    <xdr:from>
      <xdr:col>10</xdr:col>
      <xdr:colOff>571500</xdr:colOff>
      <xdr:row>69</xdr:row>
      <xdr:rowOff>114300</xdr:rowOff>
    </xdr:from>
    <xdr:to>
      <xdr:col>14</xdr:col>
      <xdr:colOff>342900</xdr:colOff>
      <xdr:row>73</xdr:row>
      <xdr:rowOff>114300</xdr:rowOff>
    </xdr:to>
    <xdr:sp macro="" textlink="">
      <xdr:nvSpPr>
        <xdr:cNvPr id="24044" name="Text Box 492">
          <a:extLst>
            <a:ext uri="{FF2B5EF4-FFF2-40B4-BE49-F238E27FC236}">
              <a16:creationId xmlns:a16="http://schemas.microsoft.com/office/drawing/2014/main" id="{00000000-0008-0000-0300-0000EC5D0000}"/>
            </a:ext>
          </a:extLst>
        </xdr:cNvPr>
        <xdr:cNvSpPr txBox="1">
          <a:spLocks noChangeArrowheads="1"/>
        </xdr:cNvSpPr>
      </xdr:nvSpPr>
      <xdr:spPr bwMode="auto">
        <a:xfrm>
          <a:off x="6105525" y="11287125"/>
          <a:ext cx="2209800" cy="6477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Fogo tipo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": Especificar cada aparelho a gás típico a ser instalado, por consulta no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Quadro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17</xdr:col>
      <xdr:colOff>323850</xdr:colOff>
      <xdr:row>170</xdr:row>
      <xdr:rowOff>9525</xdr:rowOff>
    </xdr:from>
    <xdr:to>
      <xdr:col>19</xdr:col>
      <xdr:colOff>352425</xdr:colOff>
      <xdr:row>171</xdr:row>
      <xdr:rowOff>76200</xdr:rowOff>
    </xdr:to>
    <xdr:sp macro="" textlink="">
      <xdr:nvSpPr>
        <xdr:cNvPr id="24104" name="Text Box 552">
          <a:extLst>
            <a:ext uri="{FF2B5EF4-FFF2-40B4-BE49-F238E27FC236}">
              <a16:creationId xmlns:a16="http://schemas.microsoft.com/office/drawing/2014/main" id="{00000000-0008-0000-0300-0000285E0000}"/>
            </a:ext>
          </a:extLst>
        </xdr:cNvPr>
        <xdr:cNvSpPr txBox="1">
          <a:spLocks noChangeArrowheads="1"/>
        </xdr:cNvSpPr>
      </xdr:nvSpPr>
      <xdr:spPr bwMode="auto">
        <a:xfrm>
          <a:off x="10125075" y="27536775"/>
          <a:ext cx="1247775" cy="228600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Symbol"/>
            </a:rPr>
            <a:t>D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 (mbar)</a:t>
          </a:r>
        </a:p>
      </xdr:txBody>
    </xdr:sp>
    <xdr:clientData/>
  </xdr:twoCellAnchor>
  <xdr:twoCellAnchor>
    <xdr:from>
      <xdr:col>8</xdr:col>
      <xdr:colOff>485775</xdr:colOff>
      <xdr:row>91</xdr:row>
      <xdr:rowOff>114300</xdr:rowOff>
    </xdr:from>
    <xdr:to>
      <xdr:col>16</xdr:col>
      <xdr:colOff>552450</xdr:colOff>
      <xdr:row>105</xdr:row>
      <xdr:rowOff>38100</xdr:rowOff>
    </xdr:to>
    <xdr:sp macro="" textlink="">
      <xdr:nvSpPr>
        <xdr:cNvPr id="23572" name="Text Box 20">
          <a:extLst>
            <a:ext uri="{FF2B5EF4-FFF2-40B4-BE49-F238E27FC236}">
              <a16:creationId xmlns:a16="http://schemas.microsoft.com/office/drawing/2014/main" id="{00000000-0008-0000-0300-0000145C0000}"/>
            </a:ext>
          </a:extLst>
        </xdr:cNvPr>
        <xdr:cNvSpPr txBox="1">
          <a:spLocks noChangeArrowheads="1"/>
        </xdr:cNvSpPr>
      </xdr:nvSpPr>
      <xdr:spPr bwMode="auto">
        <a:xfrm>
          <a:off x="4800600" y="14849475"/>
          <a:ext cx="4943475" cy="2190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108000" tIns="82800" rIns="108000" bIns="82800" anchor="ctr" upright="1"/>
        <a:lstStyle/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de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introduzir por cada linha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(e unicamente nas células 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azul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verde claro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as características referentes a cada troço da instalação colectiva a dimensionar, de forma sequencial e do início para o fim,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com o 1.º troço situado imediatamente a jusante da caixa de entrada do edifício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(2)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(3)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Códigos identificativos (letras ou números) atribuídos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ao início e fim de cada troço.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Colunas (4)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(5)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Nº de Fogos dos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tipos 1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ou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abastecidos pelo troço.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(6)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Comprimento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</a:t>
          </a: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(7)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Altura ou desnível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 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 valor da altura ou desnível </a:t>
          </a:r>
        </a:p>
        <a:p>
          <a:pPr algn="l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  deve ser </a:t>
          </a: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positivo se o troço for ascendente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negativo se o troço for descendente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/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Coluna (8)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 Perdas de carga locais do troço (em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metros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 por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consulta do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4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17</xdr:col>
      <xdr:colOff>257175</xdr:colOff>
      <xdr:row>97</xdr:row>
      <xdr:rowOff>142875</xdr:rowOff>
    </xdr:from>
    <xdr:to>
      <xdr:col>20</xdr:col>
      <xdr:colOff>57150</xdr:colOff>
      <xdr:row>99</xdr:row>
      <xdr:rowOff>85725</xdr:rowOff>
    </xdr:to>
    <xdr:sp macro="" textlink="">
      <xdr:nvSpPr>
        <xdr:cNvPr id="23584" name="Text Box 32">
          <a:extLst>
            <a:ext uri="{FF2B5EF4-FFF2-40B4-BE49-F238E27FC236}">
              <a16:creationId xmlns:a16="http://schemas.microsoft.com/office/drawing/2014/main" id="{00000000-0008-0000-0300-0000205C0000}"/>
            </a:ext>
          </a:extLst>
        </xdr:cNvPr>
        <xdr:cNvSpPr txBox="1">
          <a:spLocks noChangeArrowheads="1"/>
        </xdr:cNvSpPr>
      </xdr:nvSpPr>
      <xdr:spPr bwMode="auto">
        <a:xfrm>
          <a:off x="10058400" y="15849600"/>
          <a:ext cx="1628775" cy="266700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Q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troço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</a:t>
          </a:r>
          <a:r>
            <a:rPr lang="pt-PT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(st)/h)</a:t>
          </a:r>
        </a:p>
      </xdr:txBody>
    </xdr:sp>
    <xdr:clientData/>
  </xdr:twoCellAnchor>
  <xdr:twoCellAnchor>
    <xdr:from>
      <xdr:col>17</xdr:col>
      <xdr:colOff>257175</xdr:colOff>
      <xdr:row>99</xdr:row>
      <xdr:rowOff>133350</xdr:rowOff>
    </xdr:from>
    <xdr:to>
      <xdr:col>21</xdr:col>
      <xdr:colOff>9525</xdr:colOff>
      <xdr:row>103</xdr:row>
      <xdr:rowOff>47625</xdr:rowOff>
    </xdr:to>
    <xdr:sp macro="" textlink="">
      <xdr:nvSpPr>
        <xdr:cNvPr id="23585" name="Text Box 33">
          <a:extLst>
            <a:ext uri="{FF2B5EF4-FFF2-40B4-BE49-F238E27FC236}">
              <a16:creationId xmlns:a16="http://schemas.microsoft.com/office/drawing/2014/main" id="{00000000-0008-0000-0300-0000215C0000}"/>
            </a:ext>
          </a:extLst>
        </xdr:cNvPr>
        <xdr:cNvSpPr txBox="1">
          <a:spLocks noChangeArrowheads="1"/>
        </xdr:cNvSpPr>
      </xdr:nvSpPr>
      <xdr:spPr bwMode="auto">
        <a:xfrm>
          <a:off x="10058400" y="16163925"/>
          <a:ext cx="2190750" cy="5619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diâmetro interior  - D</a:t>
          </a:r>
          <a:r>
            <a:rPr lang="pt-PT" sz="10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i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(mm)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diâmetro exterior - D (mm)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diâmetro comercial - R e DN</a:t>
          </a:r>
        </a:p>
      </xdr:txBody>
    </xdr:sp>
    <xdr:clientData/>
  </xdr:twoCellAnchor>
  <xdr:twoCellAnchor>
    <xdr:from>
      <xdr:col>18</xdr:col>
      <xdr:colOff>123825</xdr:colOff>
      <xdr:row>108</xdr:row>
      <xdr:rowOff>0</xdr:rowOff>
    </xdr:from>
    <xdr:to>
      <xdr:col>21</xdr:col>
      <xdr:colOff>19050</xdr:colOff>
      <xdr:row>109</xdr:row>
      <xdr:rowOff>95250</xdr:rowOff>
    </xdr:to>
    <xdr:sp macro="" textlink="">
      <xdr:nvSpPr>
        <xdr:cNvPr id="23586" name="Text Box 34">
          <a:extLst>
            <a:ext uri="{FF2B5EF4-FFF2-40B4-BE49-F238E27FC236}">
              <a16:creationId xmlns:a16="http://schemas.microsoft.com/office/drawing/2014/main" id="{00000000-0008-0000-0300-0000225C0000}"/>
            </a:ext>
          </a:extLst>
        </xdr:cNvPr>
        <xdr:cNvSpPr txBox="1">
          <a:spLocks noChangeArrowheads="1"/>
        </xdr:cNvSpPr>
      </xdr:nvSpPr>
      <xdr:spPr bwMode="auto">
        <a:xfrm>
          <a:off x="10534650" y="17487900"/>
          <a:ext cx="1724025" cy="2571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Symbol"/>
            </a:rPr>
            <a:t>D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  <a:r>
            <a:rPr lang="pt-PT" sz="1100" b="0" i="0" u="none" strike="noStrike" baseline="-25000">
              <a:solidFill>
                <a:srgbClr val="000000"/>
              </a:solidFill>
              <a:latin typeface="Arial"/>
              <a:cs typeface="Arial"/>
            </a:rPr>
            <a:t>acumulado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(mbar)</a:t>
          </a:r>
        </a:p>
      </xdr:txBody>
    </xdr:sp>
    <xdr:clientData/>
  </xdr:twoCellAnchor>
  <xdr:twoCellAnchor>
    <xdr:from>
      <xdr:col>18</xdr:col>
      <xdr:colOff>123825</xdr:colOff>
      <xdr:row>109</xdr:row>
      <xdr:rowOff>152400</xdr:rowOff>
    </xdr:from>
    <xdr:to>
      <xdr:col>20</xdr:col>
      <xdr:colOff>9525</xdr:colOff>
      <xdr:row>111</xdr:row>
      <xdr:rowOff>85725</xdr:rowOff>
    </xdr:to>
    <xdr:sp macro="" textlink="">
      <xdr:nvSpPr>
        <xdr:cNvPr id="23587" name="Text Box 35">
          <a:extLst>
            <a:ext uri="{FF2B5EF4-FFF2-40B4-BE49-F238E27FC236}">
              <a16:creationId xmlns:a16="http://schemas.microsoft.com/office/drawing/2014/main" id="{00000000-0008-0000-0300-0000235C0000}"/>
            </a:ext>
          </a:extLst>
        </xdr:cNvPr>
        <xdr:cNvSpPr txBox="1">
          <a:spLocks noChangeArrowheads="1"/>
        </xdr:cNvSpPr>
      </xdr:nvSpPr>
      <xdr:spPr bwMode="auto">
        <a:xfrm>
          <a:off x="10534650" y="17802225"/>
          <a:ext cx="1104900" cy="257175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36000" tIns="46800" rIns="90000" bIns="4680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v (m/s)</a:t>
          </a:r>
        </a:p>
      </xdr:txBody>
    </xdr:sp>
    <xdr:clientData/>
  </xdr:twoCellAnchor>
  <xdr:twoCellAnchor>
    <xdr:from>
      <xdr:col>17</xdr:col>
      <xdr:colOff>257175</xdr:colOff>
      <xdr:row>103</xdr:row>
      <xdr:rowOff>104775</xdr:rowOff>
    </xdr:from>
    <xdr:to>
      <xdr:col>19</xdr:col>
      <xdr:colOff>285750</xdr:colOff>
      <xdr:row>105</xdr:row>
      <xdr:rowOff>9525</xdr:rowOff>
    </xdr:to>
    <xdr:sp macro="" textlink="">
      <xdr:nvSpPr>
        <xdr:cNvPr id="24106" name="Text Box 554">
          <a:extLst>
            <a:ext uri="{FF2B5EF4-FFF2-40B4-BE49-F238E27FC236}">
              <a16:creationId xmlns:a16="http://schemas.microsoft.com/office/drawing/2014/main" id="{00000000-0008-0000-0300-00002A5E0000}"/>
            </a:ext>
          </a:extLst>
        </xdr:cNvPr>
        <xdr:cNvSpPr txBox="1">
          <a:spLocks noChangeArrowheads="1"/>
        </xdr:cNvSpPr>
      </xdr:nvSpPr>
      <xdr:spPr bwMode="auto">
        <a:xfrm>
          <a:off x="10058400" y="16783050"/>
          <a:ext cx="1247775" cy="228600"/>
        </a:xfrm>
        <a:prstGeom prst="rect">
          <a:avLst/>
        </a:prstGeom>
        <a:solidFill>
          <a:schemeClr val="bg2">
            <a:lumMod val="90000"/>
          </a:schemeClr>
        </a:solidFill>
        <a:ln w="9525">
          <a:noFill/>
          <a:prstDash val="dash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Cálculo: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u="none" strike="noStrike" baseline="0">
              <a:solidFill>
                <a:srgbClr val="000000"/>
              </a:solidFill>
              <a:latin typeface="Symbol"/>
            </a:rPr>
            <a:t>D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 (mbar)</a:t>
          </a:r>
        </a:p>
      </xdr:txBody>
    </xdr:sp>
    <xdr:clientData/>
  </xdr:twoCellAnchor>
  <xdr:twoCellAnchor>
    <xdr:from>
      <xdr:col>6</xdr:col>
      <xdr:colOff>352425</xdr:colOff>
      <xdr:row>128</xdr:row>
      <xdr:rowOff>123825</xdr:rowOff>
    </xdr:from>
    <xdr:to>
      <xdr:col>8</xdr:col>
      <xdr:colOff>133350</xdr:colOff>
      <xdr:row>131</xdr:row>
      <xdr:rowOff>76200</xdr:rowOff>
    </xdr:to>
    <xdr:sp macro="" textlink="">
      <xdr:nvSpPr>
        <xdr:cNvPr id="119648" name="AutoShape 558">
          <a:extLst>
            <a:ext uri="{FF2B5EF4-FFF2-40B4-BE49-F238E27FC236}">
              <a16:creationId xmlns:a16="http://schemas.microsoft.com/office/drawing/2014/main" id="{00000000-0008-0000-0300-000060D30100}"/>
            </a:ext>
          </a:extLst>
        </xdr:cNvPr>
        <xdr:cNvSpPr>
          <a:spLocks noChangeArrowheads="1"/>
        </xdr:cNvSpPr>
      </xdr:nvSpPr>
      <xdr:spPr bwMode="auto">
        <a:xfrm>
          <a:off x="3448050" y="20850225"/>
          <a:ext cx="1000125" cy="438150"/>
        </a:xfrm>
        <a:prstGeom prst="homePlate">
          <a:avLst>
            <a:gd name="adj" fmla="val 57065"/>
          </a:avLst>
        </a:prstGeom>
        <a:gradFill rotWithShape="0">
          <a:gsLst>
            <a:gs pos="4300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>
          <a:noFill/>
        </a:ln>
      </xdr:spPr>
    </xdr:sp>
    <xdr:clientData/>
  </xdr:twoCellAnchor>
  <xdr:twoCellAnchor>
    <xdr:from>
      <xdr:col>1</xdr:col>
      <xdr:colOff>247650</xdr:colOff>
      <xdr:row>128</xdr:row>
      <xdr:rowOff>123825</xdr:rowOff>
    </xdr:from>
    <xdr:to>
      <xdr:col>7</xdr:col>
      <xdr:colOff>209550</xdr:colOff>
      <xdr:row>138</xdr:row>
      <xdr:rowOff>123825</xdr:rowOff>
    </xdr:to>
    <xdr:sp macro="" textlink="">
      <xdr:nvSpPr>
        <xdr:cNvPr id="24111" name="Text Box 559">
          <a:extLst>
            <a:ext uri="{FF2B5EF4-FFF2-40B4-BE49-F238E27FC236}">
              <a16:creationId xmlns:a16="http://schemas.microsoft.com/office/drawing/2014/main" id="{00000000-0008-0000-0300-00002F5E0000}"/>
            </a:ext>
          </a:extLst>
        </xdr:cNvPr>
        <xdr:cNvSpPr txBox="1">
          <a:spLocks noChangeArrowheads="1"/>
        </xdr:cNvSpPr>
      </xdr:nvSpPr>
      <xdr:spPr bwMode="auto">
        <a:xfrm>
          <a:off x="295275" y="20850225"/>
          <a:ext cx="3619500" cy="1619250"/>
        </a:xfrm>
        <a:prstGeom prst="rect">
          <a:avLst/>
        </a:prstGeom>
        <a:gradFill rotWithShape="0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  <a:lin ang="5400000" scaled="1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Passo 5 (</a:t>
          </a:r>
          <a:r>
            <a:rPr lang="pt-PT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bloco "Características e Especificações"</a:t>
          </a: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):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pt-PT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 </a:t>
          </a: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- Especificar, se necessário, o seguinte: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24) Pressão de abastecimento em baixa pressão,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25) Perda de carga admissível em baixa pressão,</a:t>
          </a: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26) Velocidade admissível em baixa pressão.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Nota: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Por defeito, assume os valores correntemente utilizados de acordo com o tipo de gás.</a:t>
          </a:r>
        </a:p>
      </xdr:txBody>
    </xdr:sp>
    <xdr:clientData/>
  </xdr:twoCellAnchor>
  <xdr:twoCellAnchor>
    <xdr:from>
      <xdr:col>12</xdr:col>
      <xdr:colOff>247650</xdr:colOff>
      <xdr:row>105</xdr:row>
      <xdr:rowOff>66675</xdr:rowOff>
    </xdr:from>
    <xdr:to>
      <xdr:col>12</xdr:col>
      <xdr:colOff>381000</xdr:colOff>
      <xdr:row>107</xdr:row>
      <xdr:rowOff>57150</xdr:rowOff>
    </xdr:to>
    <xdr:grpSp>
      <xdr:nvGrpSpPr>
        <xdr:cNvPr id="119650" name="Group 17">
          <a:extLst>
            <a:ext uri="{FF2B5EF4-FFF2-40B4-BE49-F238E27FC236}">
              <a16:creationId xmlns:a16="http://schemas.microsoft.com/office/drawing/2014/main" id="{00000000-0008-0000-0300-000062D30100}"/>
            </a:ext>
          </a:extLst>
        </xdr:cNvPr>
        <xdr:cNvGrpSpPr>
          <a:grpSpLocks/>
        </xdr:cNvGrpSpPr>
      </xdr:nvGrpSpPr>
      <xdr:grpSpPr bwMode="auto">
        <a:xfrm>
          <a:off x="7481702" y="16692130"/>
          <a:ext cx="133350" cy="307150"/>
          <a:chOff x="777" y="832"/>
          <a:chExt cx="14" cy="38"/>
        </a:xfrm>
      </xdr:grpSpPr>
      <xdr:sp macro="" textlink="">
        <xdr:nvSpPr>
          <xdr:cNvPr id="119679" name="AutoShape 18">
            <a:extLst>
              <a:ext uri="{FF2B5EF4-FFF2-40B4-BE49-F238E27FC236}">
                <a16:creationId xmlns:a16="http://schemas.microsoft.com/office/drawing/2014/main" id="{00000000-0008-0000-0300-00007F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680" name="AutoShape 19">
            <a:extLst>
              <a:ext uri="{FF2B5EF4-FFF2-40B4-BE49-F238E27FC236}">
                <a16:creationId xmlns:a16="http://schemas.microsoft.com/office/drawing/2014/main" id="{00000000-0008-0000-0300-000080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12</xdr:col>
      <xdr:colOff>276225</xdr:colOff>
      <xdr:row>89</xdr:row>
      <xdr:rowOff>123825</xdr:rowOff>
    </xdr:from>
    <xdr:to>
      <xdr:col>12</xdr:col>
      <xdr:colOff>409575</xdr:colOff>
      <xdr:row>91</xdr:row>
      <xdr:rowOff>66675</xdr:rowOff>
    </xdr:to>
    <xdr:grpSp>
      <xdr:nvGrpSpPr>
        <xdr:cNvPr id="119651" name="Group 21">
          <a:extLst>
            <a:ext uri="{FF2B5EF4-FFF2-40B4-BE49-F238E27FC236}">
              <a16:creationId xmlns:a16="http://schemas.microsoft.com/office/drawing/2014/main" id="{00000000-0008-0000-0300-000063D30100}"/>
            </a:ext>
          </a:extLst>
        </xdr:cNvPr>
        <xdr:cNvGrpSpPr>
          <a:grpSpLocks/>
        </xdr:cNvGrpSpPr>
      </xdr:nvGrpSpPr>
      <xdr:grpSpPr bwMode="auto">
        <a:xfrm>
          <a:off x="7510277" y="14215877"/>
          <a:ext cx="133350" cy="259525"/>
          <a:chOff x="777" y="832"/>
          <a:chExt cx="14" cy="38"/>
        </a:xfrm>
      </xdr:grpSpPr>
      <xdr:sp macro="" textlink="">
        <xdr:nvSpPr>
          <xdr:cNvPr id="119677" name="AutoShape 22">
            <a:extLst>
              <a:ext uri="{FF2B5EF4-FFF2-40B4-BE49-F238E27FC236}">
                <a16:creationId xmlns:a16="http://schemas.microsoft.com/office/drawing/2014/main" id="{00000000-0008-0000-0300-00007D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678" name="AutoShape 23">
            <a:extLst>
              <a:ext uri="{FF2B5EF4-FFF2-40B4-BE49-F238E27FC236}">
                <a16:creationId xmlns:a16="http://schemas.microsoft.com/office/drawing/2014/main" id="{00000000-0008-0000-0300-00007E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323850</xdr:colOff>
      <xdr:row>39</xdr:row>
      <xdr:rowOff>133351</xdr:rowOff>
    </xdr:from>
    <xdr:to>
      <xdr:col>21</xdr:col>
      <xdr:colOff>381000</xdr:colOff>
      <xdr:row>47</xdr:row>
      <xdr:rowOff>133351</xdr:rowOff>
    </xdr:to>
    <xdr:sp macro="" textlink="">
      <xdr:nvSpPr>
        <xdr:cNvPr id="24113" name="Text Box 561">
          <a:extLst>
            <a:ext uri="{FF2B5EF4-FFF2-40B4-BE49-F238E27FC236}">
              <a16:creationId xmlns:a16="http://schemas.microsoft.com/office/drawing/2014/main" id="{00000000-0008-0000-0300-0000315E0000}"/>
            </a:ext>
          </a:extLst>
        </xdr:cNvPr>
        <xdr:cNvSpPr txBox="1">
          <a:spLocks noChangeArrowheads="1"/>
        </xdr:cNvSpPr>
      </xdr:nvSpPr>
      <xdr:spPr bwMode="auto">
        <a:xfrm>
          <a:off x="5629275" y="6448426"/>
          <a:ext cx="7943850" cy="12954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Características e Especificações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": Colocar a marca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no caso de pretender implementar as seguintes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opções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Gás natural a fornecido pela concessionária EDP Gás (com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pressão de serviço = 0,3 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Por defeito, assume uma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pressão de serviço = 0,1 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Capacidade para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aquecimento ambiente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ajustando automaticamente o factor de simultaneidade em  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conformidade com 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Por defeito, assume o dimensionamento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sem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aquecimento ambiente.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Expressar as pressões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kPa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 Por defeito, as pressões são expressas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Usar um formulário alternativo para o dimensionamento com maior exactidão (consultar procedimentos de dimensionamento).</a:t>
          </a:r>
        </a:p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Impor simultaneidade total, não aplicando o critério especificado no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2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11</xdr:col>
      <xdr:colOff>0</xdr:colOff>
      <xdr:row>13</xdr:row>
      <xdr:rowOff>66675</xdr:rowOff>
    </xdr:from>
    <xdr:to>
      <xdr:col>14</xdr:col>
      <xdr:colOff>114300</xdr:colOff>
      <xdr:row>25</xdr:row>
      <xdr:rowOff>19050</xdr:rowOff>
    </xdr:to>
    <xdr:sp macro="" textlink="">
      <xdr:nvSpPr>
        <xdr:cNvPr id="24120" name="AutoShape 568">
          <a:extLst>
            <a:ext uri="{FF2B5EF4-FFF2-40B4-BE49-F238E27FC236}">
              <a16:creationId xmlns:a16="http://schemas.microsoft.com/office/drawing/2014/main" id="{00000000-0008-0000-0300-0000385E0000}"/>
            </a:ext>
          </a:extLst>
        </xdr:cNvPr>
        <xdr:cNvSpPr>
          <a:spLocks noChangeArrowheads="1"/>
        </xdr:cNvSpPr>
      </xdr:nvSpPr>
      <xdr:spPr bwMode="auto">
        <a:xfrm>
          <a:off x="6143625" y="2171700"/>
          <a:ext cx="1943100" cy="1895475"/>
        </a:xfrm>
        <a:prstGeom prst="diamond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Utilizar um dos  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seguintes gases?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Natural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  <a:p>
          <a:pPr algn="l" rtl="0">
            <a:lnSpc>
              <a:spcPts val="11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Propano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  <a:p>
          <a:pPr algn="l" rtl="0">
            <a:lnSpc>
              <a:spcPts val="1000"/>
            </a:lnSpc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Cidade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l" rtl="0">
            <a:lnSpc>
              <a:spcPts val="1000"/>
            </a:lnSpc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581025</xdr:colOff>
      <xdr:row>16</xdr:row>
      <xdr:rowOff>95250</xdr:rowOff>
    </xdr:from>
    <xdr:to>
      <xdr:col>14</xdr:col>
      <xdr:colOff>295275</xdr:colOff>
      <xdr:row>18</xdr:row>
      <xdr:rowOff>9525</xdr:rowOff>
    </xdr:to>
    <xdr:sp macro="" textlink="">
      <xdr:nvSpPr>
        <xdr:cNvPr id="24121" name="Text Box 569">
          <a:extLst>
            <a:ext uri="{FF2B5EF4-FFF2-40B4-BE49-F238E27FC236}">
              <a16:creationId xmlns:a16="http://schemas.microsoft.com/office/drawing/2014/main" id="{00000000-0008-0000-0300-0000395E0000}"/>
            </a:ext>
          </a:extLst>
        </xdr:cNvPr>
        <xdr:cNvSpPr txBox="1">
          <a:spLocks noChangeArrowheads="1"/>
        </xdr:cNvSpPr>
      </xdr:nvSpPr>
      <xdr:spPr bwMode="auto">
        <a:xfrm>
          <a:off x="7943850" y="2686050"/>
          <a:ext cx="323850" cy="238125"/>
        </a:xfrm>
        <a:prstGeom prst="rect">
          <a:avLst/>
        </a:prstGeom>
        <a:solidFill>
          <a:srgbClr val="FF99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Não</a:t>
          </a:r>
        </a:p>
      </xdr:txBody>
    </xdr:sp>
    <xdr:clientData/>
  </xdr:twoCellAnchor>
  <xdr:twoCellAnchor>
    <xdr:from>
      <xdr:col>11</xdr:col>
      <xdr:colOff>514350</xdr:colOff>
      <xdr:row>25</xdr:row>
      <xdr:rowOff>28575</xdr:rowOff>
    </xdr:from>
    <xdr:to>
      <xdr:col>12</xdr:col>
      <xdr:colOff>228600</xdr:colOff>
      <xdr:row>26</xdr:row>
      <xdr:rowOff>104775</xdr:rowOff>
    </xdr:to>
    <xdr:sp macro="" textlink="">
      <xdr:nvSpPr>
        <xdr:cNvPr id="24122" name="Text Box 570">
          <a:extLst>
            <a:ext uri="{FF2B5EF4-FFF2-40B4-BE49-F238E27FC236}">
              <a16:creationId xmlns:a16="http://schemas.microsoft.com/office/drawing/2014/main" id="{00000000-0008-0000-0300-00003A5E0000}"/>
            </a:ext>
          </a:extLst>
        </xdr:cNvPr>
        <xdr:cNvSpPr txBox="1">
          <a:spLocks noChangeArrowheads="1"/>
        </xdr:cNvSpPr>
      </xdr:nvSpPr>
      <xdr:spPr bwMode="auto">
        <a:xfrm>
          <a:off x="6657975" y="4076700"/>
          <a:ext cx="323850" cy="238125"/>
        </a:xfrm>
        <a:prstGeom prst="rect">
          <a:avLst/>
        </a:prstGeom>
        <a:solidFill>
          <a:srgbClr val="FF99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chemeClr val="bg1"/>
              </a:solidFill>
              <a:latin typeface="Arial"/>
              <a:cs typeface="Arial"/>
            </a:rPr>
            <a:t>Sim</a:t>
          </a:r>
        </a:p>
      </xdr:txBody>
    </xdr:sp>
    <xdr:clientData/>
  </xdr:twoCellAnchor>
  <xdr:twoCellAnchor>
    <xdr:from>
      <xdr:col>16</xdr:col>
      <xdr:colOff>28575</xdr:colOff>
      <xdr:row>19</xdr:row>
      <xdr:rowOff>152400</xdr:rowOff>
    </xdr:from>
    <xdr:to>
      <xdr:col>16</xdr:col>
      <xdr:colOff>161925</xdr:colOff>
      <xdr:row>20</xdr:row>
      <xdr:rowOff>123825</xdr:rowOff>
    </xdr:to>
    <xdr:sp macro="" textlink="">
      <xdr:nvSpPr>
        <xdr:cNvPr id="119656" name="AutoShape 571">
          <a:extLst>
            <a:ext uri="{FF2B5EF4-FFF2-40B4-BE49-F238E27FC236}">
              <a16:creationId xmlns:a16="http://schemas.microsoft.com/office/drawing/2014/main" id="{00000000-0008-0000-0300-000068D30100}"/>
            </a:ext>
          </a:extLst>
        </xdr:cNvPr>
        <xdr:cNvSpPr>
          <a:spLocks noChangeArrowheads="1"/>
        </xdr:cNvSpPr>
      </xdr:nvSpPr>
      <xdr:spPr bwMode="auto">
        <a:xfrm rot="5400000">
          <a:off x="9220200" y="3228975"/>
          <a:ext cx="133350" cy="133350"/>
        </a:xfrm>
        <a:prstGeom prst="homePlate">
          <a:avLst>
            <a:gd name="adj" fmla="val 38894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295275</xdr:colOff>
      <xdr:row>25</xdr:row>
      <xdr:rowOff>47625</xdr:rowOff>
    </xdr:from>
    <xdr:to>
      <xdr:col>12</xdr:col>
      <xdr:colOff>419100</xdr:colOff>
      <xdr:row>26</xdr:row>
      <xdr:rowOff>57150</xdr:rowOff>
    </xdr:to>
    <xdr:sp macro="" textlink="">
      <xdr:nvSpPr>
        <xdr:cNvPr id="119657" name="Rectangle 573">
          <a:extLst>
            <a:ext uri="{FF2B5EF4-FFF2-40B4-BE49-F238E27FC236}">
              <a16:creationId xmlns:a16="http://schemas.microsoft.com/office/drawing/2014/main" id="{00000000-0008-0000-0300-000069D30100}"/>
            </a:ext>
          </a:extLst>
        </xdr:cNvPr>
        <xdr:cNvSpPr>
          <a:spLocks noChangeArrowheads="1"/>
        </xdr:cNvSpPr>
      </xdr:nvSpPr>
      <xdr:spPr bwMode="auto">
        <a:xfrm>
          <a:off x="7048500" y="4095750"/>
          <a:ext cx="123825" cy="17145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19050</xdr:colOff>
      <xdr:row>27</xdr:row>
      <xdr:rowOff>142875</xdr:rowOff>
    </xdr:from>
    <xdr:to>
      <xdr:col>16</xdr:col>
      <xdr:colOff>152400</xdr:colOff>
      <xdr:row>29</xdr:row>
      <xdr:rowOff>19050</xdr:rowOff>
    </xdr:to>
    <xdr:sp macro="" textlink="">
      <xdr:nvSpPr>
        <xdr:cNvPr id="119658" name="Rectangle 575">
          <a:extLst>
            <a:ext uri="{FF2B5EF4-FFF2-40B4-BE49-F238E27FC236}">
              <a16:creationId xmlns:a16="http://schemas.microsoft.com/office/drawing/2014/main" id="{00000000-0008-0000-0300-00006AD30100}"/>
            </a:ext>
          </a:extLst>
        </xdr:cNvPr>
        <xdr:cNvSpPr>
          <a:spLocks noChangeArrowheads="1"/>
        </xdr:cNvSpPr>
      </xdr:nvSpPr>
      <xdr:spPr bwMode="auto">
        <a:xfrm>
          <a:off x="9210675" y="4514850"/>
          <a:ext cx="133350" cy="20002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457200</xdr:colOff>
      <xdr:row>28</xdr:row>
      <xdr:rowOff>76200</xdr:rowOff>
    </xdr:from>
    <xdr:to>
      <xdr:col>15</xdr:col>
      <xdr:colOff>190500</xdr:colOff>
      <xdr:row>29</xdr:row>
      <xdr:rowOff>47625</xdr:rowOff>
    </xdr:to>
    <xdr:sp macro="" textlink="">
      <xdr:nvSpPr>
        <xdr:cNvPr id="119659" name="AutoShape 576">
          <a:extLst>
            <a:ext uri="{FF2B5EF4-FFF2-40B4-BE49-F238E27FC236}">
              <a16:creationId xmlns:a16="http://schemas.microsoft.com/office/drawing/2014/main" id="{00000000-0008-0000-0300-00006BD30100}"/>
            </a:ext>
          </a:extLst>
        </xdr:cNvPr>
        <xdr:cNvSpPr>
          <a:spLocks noChangeArrowheads="1"/>
        </xdr:cNvSpPr>
      </xdr:nvSpPr>
      <xdr:spPr bwMode="auto">
        <a:xfrm rot="10738461">
          <a:off x="8429625" y="4610100"/>
          <a:ext cx="342900" cy="133350"/>
        </a:xfrm>
        <a:prstGeom prst="homePlate">
          <a:avLst>
            <a:gd name="adj" fmla="val 100012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15</xdr:col>
      <xdr:colOff>209550</xdr:colOff>
      <xdr:row>28</xdr:row>
      <xdr:rowOff>76200</xdr:rowOff>
    </xdr:from>
    <xdr:to>
      <xdr:col>16</xdr:col>
      <xdr:colOff>152400</xdr:colOff>
      <xdr:row>29</xdr:row>
      <xdr:rowOff>47625</xdr:rowOff>
    </xdr:to>
    <xdr:sp macro="" textlink="">
      <xdr:nvSpPr>
        <xdr:cNvPr id="119660" name="Rectangle 577">
          <a:extLst>
            <a:ext uri="{FF2B5EF4-FFF2-40B4-BE49-F238E27FC236}">
              <a16:creationId xmlns:a16="http://schemas.microsoft.com/office/drawing/2014/main" id="{00000000-0008-0000-0300-00006CD30100}"/>
            </a:ext>
          </a:extLst>
        </xdr:cNvPr>
        <xdr:cNvSpPr>
          <a:spLocks noChangeArrowheads="1"/>
        </xdr:cNvSpPr>
      </xdr:nvSpPr>
      <xdr:spPr bwMode="auto">
        <a:xfrm rot="5400000">
          <a:off x="9001125" y="4400550"/>
          <a:ext cx="133350" cy="55245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15</xdr:col>
      <xdr:colOff>0</xdr:colOff>
      <xdr:row>20</xdr:row>
      <xdr:rowOff>142875</xdr:rowOff>
    </xdr:from>
    <xdr:to>
      <xdr:col>21</xdr:col>
      <xdr:colOff>66675</xdr:colOff>
      <xdr:row>27</xdr:row>
      <xdr:rowOff>133350</xdr:rowOff>
    </xdr:to>
    <xdr:sp macro="" textlink="">
      <xdr:nvSpPr>
        <xdr:cNvPr id="24135" name="Text Box 583">
          <a:extLst>
            <a:ext uri="{FF2B5EF4-FFF2-40B4-BE49-F238E27FC236}">
              <a16:creationId xmlns:a16="http://schemas.microsoft.com/office/drawing/2014/main" id="{00000000-0008-0000-0300-0000475E0000}"/>
            </a:ext>
          </a:extLst>
        </xdr:cNvPr>
        <xdr:cNvSpPr txBox="1">
          <a:spLocks noChangeArrowheads="1"/>
        </xdr:cNvSpPr>
      </xdr:nvSpPr>
      <xdr:spPr bwMode="auto">
        <a:xfrm>
          <a:off x="8582025" y="3381375"/>
          <a:ext cx="3724275" cy="11239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Ir ao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Quadro 0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personalizar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lista de gases utilizáveis, introduzindo informação referente às seguintes características: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Designação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do gás a utilizar 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),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Poder calorífico inferior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kcal/m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(n)",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Densidades relativa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corrigida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Massa volúmica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kg/m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(n)" 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).</a:t>
          </a:r>
        </a:p>
      </xdr:txBody>
    </xdr:sp>
    <xdr:clientData/>
  </xdr:twoCellAnchor>
  <xdr:twoCellAnchor>
    <xdr:from>
      <xdr:col>10</xdr:col>
      <xdr:colOff>57150</xdr:colOff>
      <xdr:row>27</xdr:row>
      <xdr:rowOff>104775</xdr:rowOff>
    </xdr:from>
    <xdr:to>
      <xdr:col>14</xdr:col>
      <xdr:colOff>428625</xdr:colOff>
      <xdr:row>30</xdr:row>
      <xdr:rowOff>19050</xdr:rowOff>
    </xdr:to>
    <xdr:sp macro="" textlink="">
      <xdr:nvSpPr>
        <xdr:cNvPr id="24136" name="Text Box 584">
          <a:extLst>
            <a:ext uri="{FF2B5EF4-FFF2-40B4-BE49-F238E27FC236}">
              <a16:creationId xmlns:a16="http://schemas.microsoft.com/office/drawing/2014/main" id="{00000000-0008-0000-0300-0000485E0000}"/>
            </a:ext>
          </a:extLst>
        </xdr:cNvPr>
        <xdr:cNvSpPr txBox="1">
          <a:spLocks noChangeArrowheads="1"/>
        </xdr:cNvSpPr>
      </xdr:nvSpPr>
      <xdr:spPr bwMode="auto">
        <a:xfrm>
          <a:off x="5591175" y="4476750"/>
          <a:ext cx="2809875" cy="4000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 bloco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Características e Especificações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": Especificar qual o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gás a ser utilizado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12</xdr:col>
      <xdr:colOff>317047</xdr:colOff>
      <xdr:row>12</xdr:row>
      <xdr:rowOff>57150</xdr:rowOff>
    </xdr:from>
    <xdr:to>
      <xdr:col>12</xdr:col>
      <xdr:colOff>450397</xdr:colOff>
      <xdr:row>13</xdr:row>
      <xdr:rowOff>66675</xdr:rowOff>
    </xdr:to>
    <xdr:sp macro="" textlink="">
      <xdr:nvSpPr>
        <xdr:cNvPr id="119663" name="AutoShape 585">
          <a:extLst>
            <a:ext uri="{FF2B5EF4-FFF2-40B4-BE49-F238E27FC236}">
              <a16:creationId xmlns:a16="http://schemas.microsoft.com/office/drawing/2014/main" id="{00000000-0008-0000-0300-00006FD30100}"/>
            </a:ext>
          </a:extLst>
        </xdr:cNvPr>
        <xdr:cNvSpPr>
          <a:spLocks noChangeArrowheads="1"/>
        </xdr:cNvSpPr>
      </xdr:nvSpPr>
      <xdr:spPr bwMode="auto">
        <a:xfrm rot="5400000">
          <a:off x="7533595" y="1968273"/>
          <a:ext cx="167368" cy="133350"/>
        </a:xfrm>
        <a:prstGeom prst="homePlate">
          <a:avLst>
            <a:gd name="adj" fmla="val 50006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133350</xdr:colOff>
      <xdr:row>18</xdr:row>
      <xdr:rowOff>123825</xdr:rowOff>
    </xdr:from>
    <xdr:to>
      <xdr:col>16</xdr:col>
      <xdr:colOff>161925</xdr:colOff>
      <xdr:row>19</xdr:row>
      <xdr:rowOff>85725</xdr:rowOff>
    </xdr:to>
    <xdr:sp macro="" textlink="">
      <xdr:nvSpPr>
        <xdr:cNvPr id="119664" name="Rectangle 586">
          <a:extLst>
            <a:ext uri="{FF2B5EF4-FFF2-40B4-BE49-F238E27FC236}">
              <a16:creationId xmlns:a16="http://schemas.microsoft.com/office/drawing/2014/main" id="{00000000-0008-0000-0300-000070D30100}"/>
            </a:ext>
          </a:extLst>
        </xdr:cNvPr>
        <xdr:cNvSpPr>
          <a:spLocks noChangeArrowheads="1"/>
        </xdr:cNvSpPr>
      </xdr:nvSpPr>
      <xdr:spPr bwMode="auto">
        <a:xfrm>
          <a:off x="8105775" y="3038475"/>
          <a:ext cx="1247775" cy="123825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28575</xdr:colOff>
      <xdr:row>18</xdr:row>
      <xdr:rowOff>123825</xdr:rowOff>
    </xdr:from>
    <xdr:to>
      <xdr:col>16</xdr:col>
      <xdr:colOff>161925</xdr:colOff>
      <xdr:row>19</xdr:row>
      <xdr:rowOff>133350</xdr:rowOff>
    </xdr:to>
    <xdr:sp macro="" textlink="">
      <xdr:nvSpPr>
        <xdr:cNvPr id="119665" name="Rectangle 587">
          <a:extLst>
            <a:ext uri="{FF2B5EF4-FFF2-40B4-BE49-F238E27FC236}">
              <a16:creationId xmlns:a16="http://schemas.microsoft.com/office/drawing/2014/main" id="{00000000-0008-0000-0300-000071D30100}"/>
            </a:ext>
          </a:extLst>
        </xdr:cNvPr>
        <xdr:cNvSpPr>
          <a:spLocks noChangeArrowheads="1"/>
        </xdr:cNvSpPr>
      </xdr:nvSpPr>
      <xdr:spPr bwMode="auto">
        <a:xfrm>
          <a:off x="9220200" y="3038475"/>
          <a:ext cx="133350" cy="171450"/>
        </a:xfrm>
        <a:prstGeom prst="rect">
          <a:avLst/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323850</xdr:colOff>
      <xdr:row>31</xdr:row>
      <xdr:rowOff>47625</xdr:rowOff>
    </xdr:from>
    <xdr:to>
      <xdr:col>21</xdr:col>
      <xdr:colOff>381000</xdr:colOff>
      <xdr:row>33</xdr:row>
      <xdr:rowOff>152400</xdr:rowOff>
    </xdr:to>
    <xdr:sp macro="" textlink="">
      <xdr:nvSpPr>
        <xdr:cNvPr id="24140" name="Text Box 588">
          <a:extLst>
            <a:ext uri="{FF2B5EF4-FFF2-40B4-BE49-F238E27FC236}">
              <a16:creationId xmlns:a16="http://schemas.microsoft.com/office/drawing/2014/main" id="{00000000-0008-0000-0300-00004C5E0000}"/>
            </a:ext>
          </a:extLst>
        </xdr:cNvPr>
        <xdr:cNvSpPr txBox="1">
          <a:spLocks noChangeArrowheads="1"/>
        </xdr:cNvSpPr>
      </xdr:nvSpPr>
      <xdr:spPr bwMode="auto">
        <a:xfrm>
          <a:off x="5248275" y="5067300"/>
          <a:ext cx="7372350" cy="4286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36000" rIns="72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): personalizar as seguintes características do gás utilizado: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poder calorífico inferior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kcal/m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(n)",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densidades relativa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corrigida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massa volúmica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kg/m</a:t>
          </a:r>
          <a:r>
            <a:rPr lang="pt-PT" sz="1000" b="1" i="0" u="none" strike="noStrike" baseline="30000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(n)".</a:t>
          </a:r>
        </a:p>
      </xdr:txBody>
    </xdr:sp>
    <xdr:clientData/>
  </xdr:twoCellAnchor>
  <xdr:twoCellAnchor>
    <xdr:from>
      <xdr:col>12</xdr:col>
      <xdr:colOff>304800</xdr:colOff>
      <xdr:row>55</xdr:row>
      <xdr:rowOff>57150</xdr:rowOff>
    </xdr:from>
    <xdr:to>
      <xdr:col>12</xdr:col>
      <xdr:colOff>428625</xdr:colOff>
      <xdr:row>56</xdr:row>
      <xdr:rowOff>114300</xdr:rowOff>
    </xdr:to>
    <xdr:sp macro="" textlink="">
      <xdr:nvSpPr>
        <xdr:cNvPr id="119667" name="AutoShape 75">
          <a:extLst>
            <a:ext uri="{FF2B5EF4-FFF2-40B4-BE49-F238E27FC236}">
              <a16:creationId xmlns:a16="http://schemas.microsoft.com/office/drawing/2014/main" id="{00000000-0008-0000-0300-000073D30100}"/>
            </a:ext>
          </a:extLst>
        </xdr:cNvPr>
        <xdr:cNvSpPr>
          <a:spLocks noChangeArrowheads="1"/>
        </xdr:cNvSpPr>
      </xdr:nvSpPr>
      <xdr:spPr bwMode="auto">
        <a:xfrm rot="5400000">
          <a:off x="7010400" y="9010650"/>
          <a:ext cx="219075" cy="123825"/>
        </a:xfrm>
        <a:prstGeom prst="homePlate">
          <a:avLst>
            <a:gd name="adj" fmla="val 68812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323850</xdr:colOff>
      <xdr:row>35</xdr:row>
      <xdr:rowOff>38100</xdr:rowOff>
    </xdr:from>
    <xdr:to>
      <xdr:col>21</xdr:col>
      <xdr:colOff>371475</xdr:colOff>
      <xdr:row>38</xdr:row>
      <xdr:rowOff>114300</xdr:rowOff>
    </xdr:to>
    <xdr:sp macro="" textlink="">
      <xdr:nvSpPr>
        <xdr:cNvPr id="24141" name="Text Box 589">
          <a:extLst>
            <a:ext uri="{FF2B5EF4-FFF2-40B4-BE49-F238E27FC236}">
              <a16:creationId xmlns:a16="http://schemas.microsoft.com/office/drawing/2014/main" id="{00000000-0008-0000-0300-00004D5E0000}"/>
            </a:ext>
          </a:extLst>
        </xdr:cNvPr>
        <xdr:cNvSpPr txBox="1">
          <a:spLocks noChangeArrowheads="1"/>
        </xdr:cNvSpPr>
      </xdr:nvSpPr>
      <xdr:spPr bwMode="auto">
        <a:xfrm>
          <a:off x="5248275" y="5705475"/>
          <a:ext cx="7362825" cy="5619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72000" tIns="36000" rIns="72000" bIns="36000" anchor="ctr" upright="1"/>
        <a:lstStyle/>
        <a:p>
          <a:pPr algn="just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Opcional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): personalizar os seguintes requisitos de dimensionamento: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pressão de abastecimento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perda de carga admissível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",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velocidade admissível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m/s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", 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nível das perdas de carga locais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em 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%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e valor da 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pressão atmosférica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PT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em 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</a:t>
          </a: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mbar</a:t>
          </a: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".</a:t>
          </a:r>
        </a:p>
      </xdr:txBody>
    </xdr:sp>
    <xdr:clientData/>
  </xdr:twoCellAnchor>
  <xdr:twoCellAnchor>
    <xdr:from>
      <xdr:col>12</xdr:col>
      <xdr:colOff>219075</xdr:colOff>
      <xdr:row>116</xdr:row>
      <xdr:rowOff>66675</xdr:rowOff>
    </xdr:from>
    <xdr:to>
      <xdr:col>12</xdr:col>
      <xdr:colOff>352425</xdr:colOff>
      <xdr:row>118</xdr:row>
      <xdr:rowOff>57150</xdr:rowOff>
    </xdr:to>
    <xdr:grpSp>
      <xdr:nvGrpSpPr>
        <xdr:cNvPr id="119669" name="Group 590">
          <a:extLst>
            <a:ext uri="{FF2B5EF4-FFF2-40B4-BE49-F238E27FC236}">
              <a16:creationId xmlns:a16="http://schemas.microsoft.com/office/drawing/2014/main" id="{00000000-0008-0000-0300-000075D30100}"/>
            </a:ext>
          </a:extLst>
        </xdr:cNvPr>
        <xdr:cNvGrpSpPr>
          <a:grpSpLocks/>
        </xdr:cNvGrpSpPr>
      </xdr:nvGrpSpPr>
      <xdr:grpSpPr bwMode="auto">
        <a:xfrm>
          <a:off x="7453127" y="18433844"/>
          <a:ext cx="133350" cy="307151"/>
          <a:chOff x="777" y="832"/>
          <a:chExt cx="14" cy="38"/>
        </a:xfrm>
      </xdr:grpSpPr>
      <xdr:sp macro="" textlink="">
        <xdr:nvSpPr>
          <xdr:cNvPr id="119675" name="AutoShape 591">
            <a:extLst>
              <a:ext uri="{FF2B5EF4-FFF2-40B4-BE49-F238E27FC236}">
                <a16:creationId xmlns:a16="http://schemas.microsoft.com/office/drawing/2014/main" id="{00000000-0008-0000-0300-00007B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9676" name="AutoShape 592">
            <a:extLst>
              <a:ext uri="{FF2B5EF4-FFF2-40B4-BE49-F238E27FC236}">
                <a16:creationId xmlns:a16="http://schemas.microsoft.com/office/drawing/2014/main" id="{00000000-0008-0000-0300-00007CD301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12</xdr:col>
      <xdr:colOff>295275</xdr:colOff>
      <xdr:row>26</xdr:row>
      <xdr:rowOff>76200</xdr:rowOff>
    </xdr:from>
    <xdr:to>
      <xdr:col>12</xdr:col>
      <xdr:colOff>419100</xdr:colOff>
      <xdr:row>27</xdr:row>
      <xdr:rowOff>66675</xdr:rowOff>
    </xdr:to>
    <xdr:sp macro="" textlink="">
      <xdr:nvSpPr>
        <xdr:cNvPr id="119670" name="AutoShape 574">
          <a:extLst>
            <a:ext uri="{FF2B5EF4-FFF2-40B4-BE49-F238E27FC236}">
              <a16:creationId xmlns:a16="http://schemas.microsoft.com/office/drawing/2014/main" id="{00000000-0008-0000-0300-000076D30100}"/>
            </a:ext>
          </a:extLst>
        </xdr:cNvPr>
        <xdr:cNvSpPr>
          <a:spLocks noChangeArrowheads="1"/>
        </xdr:cNvSpPr>
      </xdr:nvSpPr>
      <xdr:spPr bwMode="auto">
        <a:xfrm rot="5400000">
          <a:off x="7034213" y="4300537"/>
          <a:ext cx="152400" cy="123825"/>
        </a:xfrm>
        <a:prstGeom prst="homePlate">
          <a:avLst>
            <a:gd name="adj" fmla="val 4786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295275</xdr:colOff>
      <xdr:row>30</xdr:row>
      <xdr:rowOff>38100</xdr:rowOff>
    </xdr:from>
    <xdr:to>
      <xdr:col>12</xdr:col>
      <xdr:colOff>419100</xdr:colOff>
      <xdr:row>31</xdr:row>
      <xdr:rowOff>28575</xdr:rowOff>
    </xdr:to>
    <xdr:sp macro="" textlink="">
      <xdr:nvSpPr>
        <xdr:cNvPr id="119671" name="AutoShape 593">
          <a:extLst>
            <a:ext uri="{FF2B5EF4-FFF2-40B4-BE49-F238E27FC236}">
              <a16:creationId xmlns:a16="http://schemas.microsoft.com/office/drawing/2014/main" id="{00000000-0008-0000-0300-000077D30100}"/>
            </a:ext>
          </a:extLst>
        </xdr:cNvPr>
        <xdr:cNvSpPr>
          <a:spLocks noChangeArrowheads="1"/>
        </xdr:cNvSpPr>
      </xdr:nvSpPr>
      <xdr:spPr bwMode="auto">
        <a:xfrm rot="5400000">
          <a:off x="7034213" y="4910137"/>
          <a:ext cx="152400" cy="123825"/>
        </a:xfrm>
        <a:prstGeom prst="homePlate">
          <a:avLst>
            <a:gd name="adj" fmla="val 4786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295275</xdr:colOff>
      <xdr:row>34</xdr:row>
      <xdr:rowOff>19050</xdr:rowOff>
    </xdr:from>
    <xdr:to>
      <xdr:col>12</xdr:col>
      <xdr:colOff>419100</xdr:colOff>
      <xdr:row>35</xdr:row>
      <xdr:rowOff>9525</xdr:rowOff>
    </xdr:to>
    <xdr:sp macro="" textlink="">
      <xdr:nvSpPr>
        <xdr:cNvPr id="119672" name="AutoShape 595">
          <a:extLst>
            <a:ext uri="{FF2B5EF4-FFF2-40B4-BE49-F238E27FC236}">
              <a16:creationId xmlns:a16="http://schemas.microsoft.com/office/drawing/2014/main" id="{00000000-0008-0000-0300-000078D30100}"/>
            </a:ext>
          </a:extLst>
        </xdr:cNvPr>
        <xdr:cNvSpPr>
          <a:spLocks noChangeArrowheads="1"/>
        </xdr:cNvSpPr>
      </xdr:nvSpPr>
      <xdr:spPr bwMode="auto">
        <a:xfrm rot="5400000">
          <a:off x="7034213" y="5538787"/>
          <a:ext cx="152400" cy="123825"/>
        </a:xfrm>
        <a:prstGeom prst="homePlate">
          <a:avLst>
            <a:gd name="adj" fmla="val 4786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295275</xdr:colOff>
      <xdr:row>38</xdr:row>
      <xdr:rowOff>133350</xdr:rowOff>
    </xdr:from>
    <xdr:to>
      <xdr:col>12</xdr:col>
      <xdr:colOff>419100</xdr:colOff>
      <xdr:row>39</xdr:row>
      <xdr:rowOff>123825</xdr:rowOff>
    </xdr:to>
    <xdr:sp macro="" textlink="">
      <xdr:nvSpPr>
        <xdr:cNvPr id="119673" name="AutoShape 596">
          <a:extLst>
            <a:ext uri="{FF2B5EF4-FFF2-40B4-BE49-F238E27FC236}">
              <a16:creationId xmlns:a16="http://schemas.microsoft.com/office/drawing/2014/main" id="{00000000-0008-0000-0300-000079D30100}"/>
            </a:ext>
          </a:extLst>
        </xdr:cNvPr>
        <xdr:cNvSpPr>
          <a:spLocks noChangeArrowheads="1"/>
        </xdr:cNvSpPr>
      </xdr:nvSpPr>
      <xdr:spPr bwMode="auto">
        <a:xfrm rot="5400000">
          <a:off x="7034213" y="6300787"/>
          <a:ext cx="152400" cy="123825"/>
        </a:xfrm>
        <a:prstGeom prst="homePlate">
          <a:avLst>
            <a:gd name="adj" fmla="val 4786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295275</xdr:colOff>
      <xdr:row>47</xdr:row>
      <xdr:rowOff>95250</xdr:rowOff>
    </xdr:from>
    <xdr:to>
      <xdr:col>12</xdr:col>
      <xdr:colOff>419100</xdr:colOff>
      <xdr:row>48</xdr:row>
      <xdr:rowOff>85725</xdr:rowOff>
    </xdr:to>
    <xdr:sp macro="" textlink="">
      <xdr:nvSpPr>
        <xdr:cNvPr id="119674" name="AutoShape 597">
          <a:extLst>
            <a:ext uri="{FF2B5EF4-FFF2-40B4-BE49-F238E27FC236}">
              <a16:creationId xmlns:a16="http://schemas.microsoft.com/office/drawing/2014/main" id="{00000000-0008-0000-0300-00007AD30100}"/>
            </a:ext>
          </a:extLst>
        </xdr:cNvPr>
        <xdr:cNvSpPr>
          <a:spLocks noChangeArrowheads="1"/>
        </xdr:cNvSpPr>
      </xdr:nvSpPr>
      <xdr:spPr bwMode="auto">
        <a:xfrm rot="5400000">
          <a:off x="7034213" y="7720012"/>
          <a:ext cx="152400" cy="123825"/>
        </a:xfrm>
        <a:prstGeom prst="homePlate">
          <a:avLst>
            <a:gd name="adj" fmla="val 47869"/>
          </a:avLst>
        </a:prstGeom>
        <a:solidFill>
          <a:srgbClr val="C0C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207282</xdr:colOff>
      <xdr:row>140</xdr:row>
      <xdr:rowOff>93738</xdr:rowOff>
    </xdr:from>
    <xdr:to>
      <xdr:col>12</xdr:col>
      <xdr:colOff>340632</xdr:colOff>
      <xdr:row>142</xdr:row>
      <xdr:rowOff>131838</xdr:rowOff>
    </xdr:to>
    <xdr:grpSp>
      <xdr:nvGrpSpPr>
        <xdr:cNvPr id="191" name="Group 124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GrpSpPr>
          <a:grpSpLocks/>
        </xdr:cNvGrpSpPr>
      </xdr:nvGrpSpPr>
      <xdr:grpSpPr bwMode="auto">
        <a:xfrm>
          <a:off x="7441334" y="22261011"/>
          <a:ext cx="133350" cy="354775"/>
          <a:chOff x="777" y="832"/>
          <a:chExt cx="14" cy="38"/>
        </a:xfrm>
      </xdr:grpSpPr>
      <xdr:sp macro="" textlink="">
        <xdr:nvSpPr>
          <xdr:cNvPr id="192" name="AutoShape 125">
            <a:extLst>
              <a:ext uri="{FF2B5EF4-FFF2-40B4-BE49-F238E27FC236}">
                <a16:creationId xmlns:a16="http://schemas.microsoft.com/office/drawing/2014/main" id="{00000000-0008-0000-0300-0000C00000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4" y="835"/>
            <a:ext cx="19" cy="14"/>
          </a:xfrm>
          <a:prstGeom prst="homePlate">
            <a:avLst>
              <a:gd name="adj" fmla="val 57145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93" name="AutoShape 126">
            <a:extLst>
              <a:ext uri="{FF2B5EF4-FFF2-40B4-BE49-F238E27FC236}">
                <a16:creationId xmlns:a16="http://schemas.microsoft.com/office/drawing/2014/main" id="{00000000-0008-0000-0300-0000C10000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773" y="852"/>
            <a:ext cx="22" cy="14"/>
          </a:xfrm>
          <a:prstGeom prst="chevron">
            <a:avLst>
              <a:gd name="adj" fmla="val 39286"/>
            </a:avLst>
          </a:prstGeom>
          <a:solidFill>
            <a:srgbClr val="C0C0C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157843</xdr:colOff>
      <xdr:row>0</xdr:row>
      <xdr:rowOff>97972</xdr:rowOff>
    </xdr:from>
    <xdr:to>
      <xdr:col>5</xdr:col>
      <xdr:colOff>631372</xdr:colOff>
      <xdr:row>3</xdr:row>
      <xdr:rowOff>0</xdr:rowOff>
    </xdr:to>
    <xdr:sp macro="" textlink="">
      <xdr:nvSpPr>
        <xdr:cNvPr id="194" name="Retângulo: Cantos Arredondados 193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/>
      </xdr:nvSpPr>
      <xdr:spPr bwMode="auto">
        <a:xfrm>
          <a:off x="206829" y="97972"/>
          <a:ext cx="3086100" cy="37555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6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Instruções de utilização </a:t>
          </a:r>
          <a:endParaRPr lang="pt-PT" sz="1600" b="1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97971</xdr:colOff>
      <xdr:row>1</xdr:row>
      <xdr:rowOff>32658</xdr:rowOff>
    </xdr:from>
    <xdr:to>
      <xdr:col>8</xdr:col>
      <xdr:colOff>364670</xdr:colOff>
      <xdr:row>3</xdr:row>
      <xdr:rowOff>0</xdr:rowOff>
    </xdr:to>
    <xdr:sp macro="" textlink="">
      <xdr:nvSpPr>
        <xdr:cNvPr id="195" name="Retângulo: Cantos Arredondados 19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/>
      </xdr:nvSpPr>
      <xdr:spPr bwMode="auto">
        <a:xfrm>
          <a:off x="3412671" y="190501"/>
          <a:ext cx="1572985" cy="283028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6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2022 </a:t>
          </a:r>
          <a:r>
            <a:rPr lang="pt-PT" sz="1200" b="1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 Versão 1 </a:t>
          </a:r>
          <a:endParaRPr lang="pt-PT" sz="1200" b="1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16329</xdr:colOff>
      <xdr:row>122</xdr:row>
      <xdr:rowOff>76199</xdr:rowOff>
    </xdr:from>
    <xdr:to>
      <xdr:col>16</xdr:col>
      <xdr:colOff>555171</xdr:colOff>
      <xdr:row>125</xdr:row>
      <xdr:rowOff>76200</xdr:rowOff>
    </xdr:to>
    <xdr:sp macro="" textlink="">
      <xdr:nvSpPr>
        <xdr:cNvPr id="196" name="AutoShape 102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Arrowheads="1"/>
        </xdr:cNvSpPr>
      </xdr:nvSpPr>
      <xdr:spPr bwMode="auto">
        <a:xfrm>
          <a:off x="5290458" y="19333028"/>
          <a:ext cx="5110842" cy="473529"/>
        </a:xfrm>
        <a:prstGeom prst="flowChartPreparation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50000">
              <a:schemeClr val="accent6">
                <a:lumMod val="75000"/>
              </a:schemeClr>
            </a:gs>
            <a:gs pos="100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FASE 2 - Dimensionamento BP</a:t>
          </a:r>
        </a:p>
      </xdr:txBody>
    </xdr:sp>
    <xdr:clientData/>
  </xdr:twoCellAnchor>
  <xdr:twoCellAnchor>
    <xdr:from>
      <xdr:col>18</xdr:col>
      <xdr:colOff>130629</xdr:colOff>
      <xdr:row>1</xdr:row>
      <xdr:rowOff>65313</xdr:rowOff>
    </xdr:from>
    <xdr:to>
      <xdr:col>21</xdr:col>
      <xdr:colOff>65317</xdr:colOff>
      <xdr:row>7</xdr:row>
      <xdr:rowOff>10885</xdr:rowOff>
    </xdr:to>
    <xdr:grpSp>
      <xdr:nvGrpSpPr>
        <xdr:cNvPr id="197" name="Agrupar 196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GrpSpPr/>
      </xdr:nvGrpSpPr>
      <xdr:grpSpPr>
        <a:xfrm>
          <a:off x="11283538" y="223650"/>
          <a:ext cx="1894116" cy="895599"/>
          <a:chOff x="15838809" y="11053948"/>
          <a:chExt cx="1730599" cy="881920"/>
        </a:xfrm>
      </xdr:grpSpPr>
      <xdr:pic>
        <xdr:nvPicPr>
          <xdr:cNvPr id="198" name="Picture 5501" descr="Resize of logoapta">
            <a:extLst>
              <a:ext uri="{FF2B5EF4-FFF2-40B4-BE49-F238E27FC236}">
                <a16:creationId xmlns:a16="http://schemas.microsoft.com/office/drawing/2014/main" id="{00000000-0008-0000-0300-0000C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415674" y="11053948"/>
            <a:ext cx="1093192" cy="6659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99" name="Text Box 5512">
            <a:extLst>
              <a:ext uri="{FF2B5EF4-FFF2-40B4-BE49-F238E27FC236}">
                <a16:creationId xmlns:a16="http://schemas.microsoft.com/office/drawing/2014/main" id="{00000000-0008-0000-0300-0000C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46899" y="11765940"/>
            <a:ext cx="1422509" cy="1583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 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200" name="Text Box 55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300-0000C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44947" y="11430224"/>
            <a:ext cx="818260" cy="1976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</xdr:txBody>
      </xdr:sp>
      <xdr:sp macro="" textlink="">
        <xdr:nvSpPr>
          <xdr:cNvPr id="201" name="Text Box 5510">
            <a:extLst>
              <a:ext uri="{FF2B5EF4-FFF2-40B4-BE49-F238E27FC236}">
                <a16:creationId xmlns:a16="http://schemas.microsoft.com/office/drawing/2014/main" id="{00000000-0008-0000-0300-0000C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22558" y="11741615"/>
            <a:ext cx="335959" cy="194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  <xdr:sp macro="" textlink="">
        <xdr:nvSpPr>
          <xdr:cNvPr id="202" name="Text Box 551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300-0000C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8809" y="11603181"/>
            <a:ext cx="818904" cy="16563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</xdr:grpSp>
    <xdr:clientData/>
  </xdr:twoCellAnchor>
  <xdr:twoCellAnchor>
    <xdr:from>
      <xdr:col>18</xdr:col>
      <xdr:colOff>342903</xdr:colOff>
      <xdr:row>184</xdr:row>
      <xdr:rowOff>157842</xdr:rowOff>
    </xdr:from>
    <xdr:to>
      <xdr:col>21</xdr:col>
      <xdr:colOff>277591</xdr:colOff>
      <xdr:row>190</xdr:row>
      <xdr:rowOff>103414</xdr:rowOff>
    </xdr:to>
    <xdr:grpSp>
      <xdr:nvGrpSpPr>
        <xdr:cNvPr id="203" name="Agrupar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GrpSpPr/>
      </xdr:nvGrpSpPr>
      <xdr:grpSpPr>
        <a:xfrm>
          <a:off x="11495812" y="29291972"/>
          <a:ext cx="1894116" cy="895597"/>
          <a:chOff x="15838809" y="11053948"/>
          <a:chExt cx="1730599" cy="881920"/>
        </a:xfrm>
      </xdr:grpSpPr>
      <xdr:pic>
        <xdr:nvPicPr>
          <xdr:cNvPr id="204" name="Picture 5501" descr="Resize of logoapta">
            <a:extLst>
              <a:ext uri="{FF2B5EF4-FFF2-40B4-BE49-F238E27FC236}">
                <a16:creationId xmlns:a16="http://schemas.microsoft.com/office/drawing/2014/main" id="{00000000-0008-0000-0300-0000C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415674" y="11053948"/>
            <a:ext cx="1093192" cy="6659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5" name="Text Box 5512">
            <a:extLst>
              <a:ext uri="{FF2B5EF4-FFF2-40B4-BE49-F238E27FC236}">
                <a16:creationId xmlns:a16="http://schemas.microsoft.com/office/drawing/2014/main" id="{00000000-0008-0000-0300-0000C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46899" y="11765940"/>
            <a:ext cx="1422509" cy="1583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 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206" name="Text Box 55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300-0000C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44947" y="11430224"/>
            <a:ext cx="818260" cy="1976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</xdr:txBody>
      </xdr:sp>
      <xdr:sp macro="" textlink="">
        <xdr:nvSpPr>
          <xdr:cNvPr id="207" name="Text Box 5510">
            <a:extLst>
              <a:ext uri="{FF2B5EF4-FFF2-40B4-BE49-F238E27FC236}">
                <a16:creationId xmlns:a16="http://schemas.microsoft.com/office/drawing/2014/main" id="{00000000-0008-0000-0300-0000C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22558" y="11741615"/>
            <a:ext cx="335959" cy="194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  <xdr:sp macro="" textlink="">
        <xdr:nvSpPr>
          <xdr:cNvPr id="208" name="Text Box 551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300-0000D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8809" y="11603181"/>
            <a:ext cx="818904" cy="16563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48</xdr:row>
      <xdr:rowOff>38100</xdr:rowOff>
    </xdr:from>
    <xdr:to>
      <xdr:col>10</xdr:col>
      <xdr:colOff>76200</xdr:colOff>
      <xdr:row>48</xdr:row>
      <xdr:rowOff>266700</xdr:rowOff>
    </xdr:to>
    <xdr:pic>
      <xdr:nvPicPr>
        <xdr:cNvPr id="120004" name="Picture 114" descr="Gás-Fórmula da Perda de Carga Acumul 300-MP">
          <a:extLst>
            <a:ext uri="{FF2B5EF4-FFF2-40B4-BE49-F238E27FC236}">
              <a16:creationId xmlns:a16="http://schemas.microsoft.com/office/drawing/2014/main" id="{00000000-0008-0000-0400-0000C4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4982825"/>
          <a:ext cx="12001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47</xdr:row>
      <xdr:rowOff>57150</xdr:rowOff>
    </xdr:from>
    <xdr:to>
      <xdr:col>10</xdr:col>
      <xdr:colOff>114300</xdr:colOff>
      <xdr:row>47</xdr:row>
      <xdr:rowOff>295275</xdr:rowOff>
    </xdr:to>
    <xdr:pic>
      <xdr:nvPicPr>
        <xdr:cNvPr id="120005" name="Picture 115" descr="Gás-Fórmula da Perda de Carga Acumul 100-MP">
          <a:extLst>
            <a:ext uri="{FF2B5EF4-FFF2-40B4-BE49-F238E27FC236}">
              <a16:creationId xmlns:a16="http://schemas.microsoft.com/office/drawing/2014/main" id="{00000000-0008-0000-0400-0000C5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4649450"/>
          <a:ext cx="1238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46</xdr:row>
      <xdr:rowOff>38100</xdr:rowOff>
    </xdr:from>
    <xdr:to>
      <xdr:col>9</xdr:col>
      <xdr:colOff>495300</xdr:colOff>
      <xdr:row>46</xdr:row>
      <xdr:rowOff>304800</xdr:rowOff>
    </xdr:to>
    <xdr:pic>
      <xdr:nvPicPr>
        <xdr:cNvPr id="120006" name="Picture 116" descr="Gás-Fórmula da Perda de Carga no Troço">
          <a:extLst>
            <a:ext uri="{FF2B5EF4-FFF2-40B4-BE49-F238E27FC236}">
              <a16:creationId xmlns:a16="http://schemas.microsoft.com/office/drawing/2014/main" id="{00000000-0008-0000-0400-0000C6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4297025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42</xdr:row>
      <xdr:rowOff>104775</xdr:rowOff>
    </xdr:from>
    <xdr:to>
      <xdr:col>11</xdr:col>
      <xdr:colOff>228600</xdr:colOff>
      <xdr:row>43</xdr:row>
      <xdr:rowOff>371475</xdr:rowOff>
    </xdr:to>
    <xdr:pic>
      <xdr:nvPicPr>
        <xdr:cNvPr id="120007" name="Picture 118" descr="Gás-Fórmula de Renouard-MP">
          <a:extLst>
            <a:ext uri="{FF2B5EF4-FFF2-40B4-BE49-F238E27FC236}">
              <a16:creationId xmlns:a16="http://schemas.microsoft.com/office/drawing/2014/main" id="{00000000-0008-0000-0400-0000C7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496800"/>
          <a:ext cx="21526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50</xdr:row>
      <xdr:rowOff>47625</xdr:rowOff>
    </xdr:from>
    <xdr:to>
      <xdr:col>13</xdr:col>
      <xdr:colOff>161925</xdr:colOff>
      <xdr:row>50</xdr:row>
      <xdr:rowOff>323850</xdr:rowOff>
    </xdr:to>
    <xdr:pic>
      <xdr:nvPicPr>
        <xdr:cNvPr id="120008" name="Picture 120" descr="Gás-Fórmula da Pressão Média-MP-Versão4">
          <a:extLst>
            <a:ext uri="{FF2B5EF4-FFF2-40B4-BE49-F238E27FC236}">
              <a16:creationId xmlns:a16="http://schemas.microsoft.com/office/drawing/2014/main" id="{00000000-0008-0000-0400-0000C8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5706725"/>
          <a:ext cx="33909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51</xdr:row>
      <xdr:rowOff>47625</xdr:rowOff>
    </xdr:from>
    <xdr:to>
      <xdr:col>10</xdr:col>
      <xdr:colOff>638175</xdr:colOff>
      <xdr:row>51</xdr:row>
      <xdr:rowOff>323850</xdr:rowOff>
    </xdr:to>
    <xdr:pic>
      <xdr:nvPicPr>
        <xdr:cNvPr id="120009" name="Picture 121" descr="Gás-Fórmula da Velocidade-Versão3">
          <a:extLst>
            <a:ext uri="{FF2B5EF4-FFF2-40B4-BE49-F238E27FC236}">
              <a16:creationId xmlns:a16="http://schemas.microsoft.com/office/drawing/2014/main" id="{00000000-0008-0000-0400-0000C9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6068675"/>
          <a:ext cx="17621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47</xdr:row>
      <xdr:rowOff>66675</xdr:rowOff>
    </xdr:from>
    <xdr:to>
      <xdr:col>11</xdr:col>
      <xdr:colOff>247650</xdr:colOff>
      <xdr:row>47</xdr:row>
      <xdr:rowOff>314325</xdr:rowOff>
    </xdr:to>
    <xdr:sp macro="" textlink="">
      <xdr:nvSpPr>
        <xdr:cNvPr id="22650" name="Text Box 122">
          <a:extLst>
            <a:ext uri="{FF2B5EF4-FFF2-40B4-BE49-F238E27FC236}">
              <a16:creationId xmlns:a16="http://schemas.microsoft.com/office/drawing/2014/main" id="{00000000-0008-0000-0400-00007A580000}"/>
            </a:ext>
          </a:extLst>
        </xdr:cNvPr>
        <xdr:cNvSpPr txBox="1">
          <a:spLocks noChangeArrowheads="1"/>
        </xdr:cNvSpPr>
      </xdr:nvSpPr>
      <xdr:spPr bwMode="auto">
        <a:xfrm>
          <a:off x="8315325" y="14658975"/>
          <a:ext cx="9429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Gás Natural</a:t>
          </a:r>
        </a:p>
      </xdr:txBody>
    </xdr:sp>
    <xdr:clientData/>
  </xdr:twoCellAnchor>
  <xdr:twoCellAnchor>
    <xdr:from>
      <xdr:col>13</xdr:col>
      <xdr:colOff>152400</xdr:colOff>
      <xdr:row>47</xdr:row>
      <xdr:rowOff>57150</xdr:rowOff>
    </xdr:from>
    <xdr:to>
      <xdr:col>13</xdr:col>
      <xdr:colOff>1057275</xdr:colOff>
      <xdr:row>47</xdr:row>
      <xdr:rowOff>304800</xdr:rowOff>
    </xdr:to>
    <xdr:sp macro="" textlink="">
      <xdr:nvSpPr>
        <xdr:cNvPr id="22651" name="Text Box 123">
          <a:extLst>
            <a:ext uri="{FF2B5EF4-FFF2-40B4-BE49-F238E27FC236}">
              <a16:creationId xmlns:a16="http://schemas.microsoft.com/office/drawing/2014/main" id="{00000000-0008-0000-0400-00007B580000}"/>
            </a:ext>
          </a:extLst>
        </xdr:cNvPr>
        <xdr:cNvSpPr txBox="1">
          <a:spLocks noChangeArrowheads="1"/>
        </xdr:cNvSpPr>
      </xdr:nvSpPr>
      <xdr:spPr bwMode="auto">
        <a:xfrm>
          <a:off x="10534650" y="14649450"/>
          <a:ext cx="9048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Gás Propano</a:t>
          </a:r>
        </a:p>
      </xdr:txBody>
    </xdr:sp>
    <xdr:clientData/>
  </xdr:twoCellAnchor>
  <xdr:twoCellAnchor>
    <xdr:from>
      <xdr:col>10</xdr:col>
      <xdr:colOff>38100</xdr:colOff>
      <xdr:row>48</xdr:row>
      <xdr:rowOff>76200</xdr:rowOff>
    </xdr:from>
    <xdr:to>
      <xdr:col>11</xdr:col>
      <xdr:colOff>247650</xdr:colOff>
      <xdr:row>48</xdr:row>
      <xdr:rowOff>295275</xdr:rowOff>
    </xdr:to>
    <xdr:sp macro="" textlink="">
      <xdr:nvSpPr>
        <xdr:cNvPr id="22652" name="Text Box 124">
          <a:extLst>
            <a:ext uri="{FF2B5EF4-FFF2-40B4-BE49-F238E27FC236}">
              <a16:creationId xmlns:a16="http://schemas.microsoft.com/office/drawing/2014/main" id="{00000000-0008-0000-0400-00007C580000}"/>
            </a:ext>
          </a:extLst>
        </xdr:cNvPr>
        <xdr:cNvSpPr txBox="1">
          <a:spLocks noChangeArrowheads="1"/>
        </xdr:cNvSpPr>
      </xdr:nvSpPr>
      <xdr:spPr bwMode="auto">
        <a:xfrm>
          <a:off x="8315325" y="15020925"/>
          <a:ext cx="9429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Gás Natural</a:t>
          </a:r>
        </a:p>
      </xdr:txBody>
    </xdr:sp>
    <xdr:clientData/>
  </xdr:twoCellAnchor>
  <xdr:twoCellAnchor editAs="oneCell">
    <xdr:from>
      <xdr:col>11</xdr:col>
      <xdr:colOff>276225</xdr:colOff>
      <xdr:row>47</xdr:row>
      <xdr:rowOff>57150</xdr:rowOff>
    </xdr:from>
    <xdr:to>
      <xdr:col>13</xdr:col>
      <xdr:colOff>190500</xdr:colOff>
      <xdr:row>47</xdr:row>
      <xdr:rowOff>304800</xdr:rowOff>
    </xdr:to>
    <xdr:pic>
      <xdr:nvPicPr>
        <xdr:cNvPr id="120013" name="Picture 125" descr="Gás-Fórmula da Perda de Carga Acumul 1500-MP">
          <a:extLst>
            <a:ext uri="{FF2B5EF4-FFF2-40B4-BE49-F238E27FC236}">
              <a16:creationId xmlns:a16="http://schemas.microsoft.com/office/drawing/2014/main" id="{00000000-0008-0000-0400-0000CD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75" y="14649450"/>
          <a:ext cx="12858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142875</xdr:colOff>
      <xdr:row>41</xdr:row>
      <xdr:rowOff>104775</xdr:rowOff>
    </xdr:from>
    <xdr:to>
      <xdr:col>10</xdr:col>
      <xdr:colOff>628650</xdr:colOff>
      <xdr:row>42</xdr:row>
      <xdr:rowOff>76200</xdr:rowOff>
    </xdr:to>
    <xdr:sp macro="" textlink="">
      <xdr:nvSpPr>
        <xdr:cNvPr id="22654" name="Text Box 126">
          <a:extLst>
            <a:ext uri="{FF2B5EF4-FFF2-40B4-BE49-F238E27FC236}">
              <a16:creationId xmlns:a16="http://schemas.microsoft.com/office/drawing/2014/main" id="{00000000-0008-0000-0400-00007E580000}"/>
            </a:ext>
          </a:extLst>
        </xdr:cNvPr>
        <xdr:cNvSpPr txBox="1">
          <a:spLocks noChangeArrowheads="1"/>
        </xdr:cNvSpPr>
      </xdr:nvSpPr>
      <xdr:spPr bwMode="auto">
        <a:xfrm>
          <a:off x="7181850" y="12249150"/>
          <a:ext cx="1724025" cy="219075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Fórmula de Renouard - MP</a:t>
          </a:r>
        </a:p>
      </xdr:txBody>
    </xdr:sp>
    <xdr:clientData/>
  </xdr:twoCellAnchor>
  <xdr:twoCellAnchor>
    <xdr:from>
      <xdr:col>11</xdr:col>
      <xdr:colOff>381000</xdr:colOff>
      <xdr:row>41</xdr:row>
      <xdr:rowOff>104774</xdr:rowOff>
    </xdr:from>
    <xdr:to>
      <xdr:col>13</xdr:col>
      <xdr:colOff>1095375</xdr:colOff>
      <xdr:row>42</xdr:row>
      <xdr:rowOff>76724</xdr:rowOff>
    </xdr:to>
    <xdr:sp macro="" textlink="">
      <xdr:nvSpPr>
        <xdr:cNvPr id="22655" name="Text Box 127">
          <a:extLst>
            <a:ext uri="{FF2B5EF4-FFF2-40B4-BE49-F238E27FC236}">
              <a16:creationId xmlns:a16="http://schemas.microsoft.com/office/drawing/2014/main" id="{00000000-0008-0000-0400-00007F580000}"/>
            </a:ext>
          </a:extLst>
        </xdr:cNvPr>
        <xdr:cNvSpPr txBox="1">
          <a:spLocks noChangeArrowheads="1"/>
        </xdr:cNvSpPr>
      </xdr:nvSpPr>
      <xdr:spPr bwMode="auto">
        <a:xfrm>
          <a:off x="9391650" y="12249149"/>
          <a:ext cx="2085975" cy="219600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Fórmula de Renouard - MP (APTA)</a:t>
          </a:r>
        </a:p>
      </xdr:txBody>
    </xdr:sp>
    <xdr:clientData/>
  </xdr:twoCellAnchor>
  <xdr:twoCellAnchor>
    <xdr:from>
      <xdr:col>10</xdr:col>
      <xdr:colOff>638175</xdr:colOff>
      <xdr:row>41</xdr:row>
      <xdr:rowOff>95250</xdr:rowOff>
    </xdr:from>
    <xdr:to>
      <xdr:col>11</xdr:col>
      <xdr:colOff>419100</xdr:colOff>
      <xdr:row>42</xdr:row>
      <xdr:rowOff>95250</xdr:rowOff>
    </xdr:to>
    <xdr:sp macro="" textlink="">
      <xdr:nvSpPr>
        <xdr:cNvPr id="22656" name="Text Box 128">
          <a:extLst>
            <a:ext uri="{FF2B5EF4-FFF2-40B4-BE49-F238E27FC236}">
              <a16:creationId xmlns:a16="http://schemas.microsoft.com/office/drawing/2014/main" id="{00000000-0008-0000-0400-000080580000}"/>
            </a:ext>
          </a:extLst>
        </xdr:cNvPr>
        <xdr:cNvSpPr txBox="1">
          <a:spLocks noChangeArrowheads="1"/>
        </xdr:cNvSpPr>
      </xdr:nvSpPr>
      <xdr:spPr bwMode="auto">
        <a:xfrm>
          <a:off x="8915400" y="12239625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Opção:</a:t>
          </a:r>
        </a:p>
      </xdr:txBody>
    </xdr:sp>
    <xdr:clientData/>
  </xdr:twoCellAnchor>
  <xdr:twoCellAnchor editAs="oneCell">
    <xdr:from>
      <xdr:col>11</xdr:col>
      <xdr:colOff>295275</xdr:colOff>
      <xdr:row>42</xdr:row>
      <xdr:rowOff>104775</xdr:rowOff>
    </xdr:from>
    <xdr:to>
      <xdr:col>13</xdr:col>
      <xdr:colOff>1104900</xdr:colOff>
      <xdr:row>43</xdr:row>
      <xdr:rowOff>381000</xdr:rowOff>
    </xdr:to>
    <xdr:pic>
      <xdr:nvPicPr>
        <xdr:cNvPr id="120017" name="Picture 129" descr="Gás-Fórmula de Renouard-MP-APTA">
          <a:extLst>
            <a:ext uri="{FF2B5EF4-FFF2-40B4-BE49-F238E27FC236}">
              <a16:creationId xmlns:a16="http://schemas.microsoft.com/office/drawing/2014/main" id="{00000000-0008-0000-0400-0000D1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5925" y="12496800"/>
          <a:ext cx="21812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36</xdr:row>
      <xdr:rowOff>38100</xdr:rowOff>
    </xdr:from>
    <xdr:to>
      <xdr:col>10</xdr:col>
      <xdr:colOff>647700</xdr:colOff>
      <xdr:row>36</xdr:row>
      <xdr:rowOff>323850</xdr:rowOff>
    </xdr:to>
    <xdr:pic>
      <xdr:nvPicPr>
        <xdr:cNvPr id="120018" name="Picture 130" descr="Gás-Diâmetro de Cálculo-MP">
          <a:extLst>
            <a:ext uri="{FF2B5EF4-FFF2-40B4-BE49-F238E27FC236}">
              <a16:creationId xmlns:a16="http://schemas.microsoft.com/office/drawing/2014/main" id="{00000000-0008-0000-0400-0000D2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0325100"/>
          <a:ext cx="17716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714375</xdr:colOff>
      <xdr:row>36</xdr:row>
      <xdr:rowOff>38100</xdr:rowOff>
    </xdr:from>
    <xdr:to>
      <xdr:col>13</xdr:col>
      <xdr:colOff>1114425</xdr:colOff>
      <xdr:row>36</xdr:row>
      <xdr:rowOff>323850</xdr:rowOff>
    </xdr:to>
    <xdr:pic>
      <xdr:nvPicPr>
        <xdr:cNvPr id="120019" name="Picture 131" descr="Gás-Diâmetro de Cálculo-MP-APTA">
          <a:extLst>
            <a:ext uri="{FF2B5EF4-FFF2-40B4-BE49-F238E27FC236}">
              <a16:creationId xmlns:a16="http://schemas.microsoft.com/office/drawing/2014/main" id="{00000000-0008-0000-0400-0000D3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0325100"/>
          <a:ext cx="17716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704850</xdr:colOff>
      <xdr:row>36</xdr:row>
      <xdr:rowOff>76200</xdr:rowOff>
    </xdr:from>
    <xdr:to>
      <xdr:col>11</xdr:col>
      <xdr:colOff>742950</xdr:colOff>
      <xdr:row>36</xdr:row>
      <xdr:rowOff>323850</xdr:rowOff>
    </xdr:to>
    <xdr:sp macro="" textlink="">
      <xdr:nvSpPr>
        <xdr:cNvPr id="22660" name="Text Box 132">
          <a:extLst>
            <a:ext uri="{FF2B5EF4-FFF2-40B4-BE49-F238E27FC236}">
              <a16:creationId xmlns:a16="http://schemas.microsoft.com/office/drawing/2014/main" id="{00000000-0008-0000-0400-000084580000}"/>
            </a:ext>
          </a:extLst>
        </xdr:cNvPr>
        <xdr:cNvSpPr txBox="1">
          <a:spLocks noChangeArrowheads="1"/>
        </xdr:cNvSpPr>
      </xdr:nvSpPr>
      <xdr:spPr bwMode="auto">
        <a:xfrm>
          <a:off x="8982075" y="10363200"/>
          <a:ext cx="7715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 APTA:</a:t>
          </a:r>
        </a:p>
      </xdr:txBody>
    </xdr:sp>
    <xdr:clientData/>
  </xdr:twoCellAnchor>
  <xdr:twoCellAnchor>
    <xdr:from>
      <xdr:col>13</xdr:col>
      <xdr:colOff>57150</xdr:colOff>
      <xdr:row>48</xdr:row>
      <xdr:rowOff>47625</xdr:rowOff>
    </xdr:from>
    <xdr:to>
      <xdr:col>13</xdr:col>
      <xdr:colOff>1104900</xdr:colOff>
      <xdr:row>48</xdr:row>
      <xdr:rowOff>266700</xdr:rowOff>
    </xdr:to>
    <xdr:sp macro="" textlink="">
      <xdr:nvSpPr>
        <xdr:cNvPr id="22661" name="Text Box 133">
          <a:extLst>
            <a:ext uri="{FF2B5EF4-FFF2-40B4-BE49-F238E27FC236}">
              <a16:creationId xmlns:a16="http://schemas.microsoft.com/office/drawing/2014/main" id="{00000000-0008-0000-0400-000085580000}"/>
            </a:ext>
          </a:extLst>
        </xdr:cNvPr>
        <xdr:cNvSpPr txBox="1">
          <a:spLocks noChangeArrowheads="1"/>
        </xdr:cNvSpPr>
      </xdr:nvSpPr>
      <xdr:spPr bwMode="auto">
        <a:xfrm>
          <a:off x="10439400" y="14992350"/>
          <a:ext cx="10477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Fórmula Geral</a:t>
          </a:r>
        </a:p>
      </xdr:txBody>
    </xdr:sp>
    <xdr:clientData/>
  </xdr:twoCellAnchor>
  <xdr:twoCellAnchor editAs="oneCell">
    <xdr:from>
      <xdr:col>11</xdr:col>
      <xdr:colOff>266700</xdr:colOff>
      <xdr:row>48</xdr:row>
      <xdr:rowOff>19050</xdr:rowOff>
    </xdr:from>
    <xdr:to>
      <xdr:col>13</xdr:col>
      <xdr:colOff>104775</xdr:colOff>
      <xdr:row>48</xdr:row>
      <xdr:rowOff>266700</xdr:rowOff>
    </xdr:to>
    <xdr:pic>
      <xdr:nvPicPr>
        <xdr:cNvPr id="120022" name="Picture 134" descr="Gás-Fórmula Geral da Perda de Carga Acumul">
          <a:extLst>
            <a:ext uri="{FF2B5EF4-FFF2-40B4-BE49-F238E27FC236}">
              <a16:creationId xmlns:a16="http://schemas.microsoft.com/office/drawing/2014/main" id="{00000000-0008-0000-0400-0000D6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0" y="14963775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34</xdr:row>
      <xdr:rowOff>47625</xdr:rowOff>
    </xdr:from>
    <xdr:to>
      <xdr:col>11</xdr:col>
      <xdr:colOff>771525</xdr:colOff>
      <xdr:row>34</xdr:row>
      <xdr:rowOff>295275</xdr:rowOff>
    </xdr:to>
    <xdr:pic>
      <xdr:nvPicPr>
        <xdr:cNvPr id="120023" name="Picture 135" descr="Gás-Perda de Carga Média-MP">
          <a:extLst>
            <a:ext uri="{FF2B5EF4-FFF2-40B4-BE49-F238E27FC236}">
              <a16:creationId xmlns:a16="http://schemas.microsoft.com/office/drawing/2014/main" id="{00000000-0008-0000-0400-0000D7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9725025"/>
          <a:ext cx="2628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33</xdr:row>
      <xdr:rowOff>47625</xdr:rowOff>
    </xdr:from>
    <xdr:to>
      <xdr:col>13</xdr:col>
      <xdr:colOff>1076325</xdr:colOff>
      <xdr:row>33</xdr:row>
      <xdr:rowOff>276225</xdr:rowOff>
    </xdr:to>
    <xdr:pic>
      <xdr:nvPicPr>
        <xdr:cNvPr id="120024" name="Picture 136" descr="Gás-Comprimento Equivalente Máximo-20%">
          <a:extLst>
            <a:ext uri="{FF2B5EF4-FFF2-40B4-BE49-F238E27FC236}">
              <a16:creationId xmlns:a16="http://schemas.microsoft.com/office/drawing/2014/main" id="{00000000-0008-0000-0400-0000D8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0" y="9401175"/>
          <a:ext cx="1019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33</xdr:row>
      <xdr:rowOff>38100</xdr:rowOff>
    </xdr:from>
    <xdr:to>
      <xdr:col>10</xdr:col>
      <xdr:colOff>28575</xdr:colOff>
      <xdr:row>33</xdr:row>
      <xdr:rowOff>285750</xdr:rowOff>
    </xdr:to>
    <xdr:pic>
      <xdr:nvPicPr>
        <xdr:cNvPr id="120025" name="Picture 137" descr="Gás-Comprimento Equivalente Máximo">
          <a:extLst>
            <a:ext uri="{FF2B5EF4-FFF2-40B4-BE49-F238E27FC236}">
              <a16:creationId xmlns:a16="http://schemas.microsoft.com/office/drawing/2014/main" id="{00000000-0008-0000-0400-0000D9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9391650"/>
          <a:ext cx="1152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666750</xdr:colOff>
      <xdr:row>33</xdr:row>
      <xdr:rowOff>66675</xdr:rowOff>
    </xdr:from>
    <xdr:to>
      <xdr:col>13</xdr:col>
      <xdr:colOff>95250</xdr:colOff>
      <xdr:row>33</xdr:row>
      <xdr:rowOff>304800</xdr:rowOff>
    </xdr:to>
    <xdr:sp macro="" textlink="">
      <xdr:nvSpPr>
        <xdr:cNvPr id="22666" name="Text Box 138">
          <a:extLst>
            <a:ext uri="{FF2B5EF4-FFF2-40B4-BE49-F238E27FC236}">
              <a16:creationId xmlns:a16="http://schemas.microsoft.com/office/drawing/2014/main" id="{00000000-0008-0000-0400-00008A580000}"/>
            </a:ext>
          </a:extLst>
        </xdr:cNvPr>
        <xdr:cNvSpPr txBox="1">
          <a:spLocks noChangeArrowheads="1"/>
        </xdr:cNvSpPr>
      </xdr:nvSpPr>
      <xdr:spPr bwMode="auto">
        <a:xfrm>
          <a:off x="8943975" y="9420225"/>
          <a:ext cx="15335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Valor adoptado por defeito:</a:t>
          </a:r>
        </a:p>
      </xdr:txBody>
    </xdr:sp>
    <xdr:clientData/>
  </xdr:twoCellAnchor>
  <xdr:twoCellAnchor editAs="oneCell">
    <xdr:from>
      <xdr:col>8</xdr:col>
      <xdr:colOff>114300</xdr:colOff>
      <xdr:row>31</xdr:row>
      <xdr:rowOff>28575</xdr:rowOff>
    </xdr:from>
    <xdr:to>
      <xdr:col>9</xdr:col>
      <xdr:colOff>457200</xdr:colOff>
      <xdr:row>31</xdr:row>
      <xdr:rowOff>285750</xdr:rowOff>
    </xdr:to>
    <xdr:pic>
      <xdr:nvPicPr>
        <xdr:cNvPr id="120027" name="Picture 139" descr="Gás-Comprimento Equivalente">
          <a:extLst>
            <a:ext uri="{FF2B5EF4-FFF2-40B4-BE49-F238E27FC236}">
              <a16:creationId xmlns:a16="http://schemas.microsoft.com/office/drawing/2014/main" id="{00000000-0008-0000-0400-0000DB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8734425"/>
          <a:ext cx="838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38100</xdr:colOff>
      <xdr:row>31</xdr:row>
      <xdr:rowOff>38100</xdr:rowOff>
    </xdr:from>
    <xdr:to>
      <xdr:col>13</xdr:col>
      <xdr:colOff>1114425</xdr:colOff>
      <xdr:row>31</xdr:row>
      <xdr:rowOff>285750</xdr:rowOff>
    </xdr:to>
    <xdr:pic>
      <xdr:nvPicPr>
        <xdr:cNvPr id="120028" name="Picture 140" descr="Gás-Comprimento Equivalente-Opção Perdas Localizadas">
          <a:extLst>
            <a:ext uri="{FF2B5EF4-FFF2-40B4-BE49-F238E27FC236}">
              <a16:creationId xmlns:a16="http://schemas.microsoft.com/office/drawing/2014/main" id="{00000000-0008-0000-0400-0000DC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0350" y="8743950"/>
          <a:ext cx="10763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485775</xdr:colOff>
      <xdr:row>31</xdr:row>
      <xdr:rowOff>66675</xdr:rowOff>
    </xdr:from>
    <xdr:to>
      <xdr:col>13</xdr:col>
      <xdr:colOff>85725</xdr:colOff>
      <xdr:row>31</xdr:row>
      <xdr:rowOff>276225</xdr:rowOff>
    </xdr:to>
    <xdr:sp macro="" textlink="">
      <xdr:nvSpPr>
        <xdr:cNvPr id="22669" name="Text Box 141">
          <a:extLst>
            <a:ext uri="{FF2B5EF4-FFF2-40B4-BE49-F238E27FC236}">
              <a16:creationId xmlns:a16="http://schemas.microsoft.com/office/drawing/2014/main" id="{00000000-0008-0000-0400-00008D580000}"/>
            </a:ext>
          </a:extLst>
        </xdr:cNvPr>
        <xdr:cNvSpPr txBox="1">
          <a:spLocks noChangeArrowheads="1"/>
        </xdr:cNvSpPr>
      </xdr:nvSpPr>
      <xdr:spPr bwMode="auto">
        <a:xfrm>
          <a:off x="8020050" y="8772525"/>
          <a:ext cx="2447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Opção: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método do comprimento equivalente:</a:t>
          </a:r>
        </a:p>
      </xdr:txBody>
    </xdr:sp>
    <xdr:clientData/>
  </xdr:twoCellAnchor>
  <xdr:twoCellAnchor editAs="oneCell">
    <xdr:from>
      <xdr:col>8</xdr:col>
      <xdr:colOff>114300</xdr:colOff>
      <xdr:row>26</xdr:row>
      <xdr:rowOff>28575</xdr:rowOff>
    </xdr:from>
    <xdr:to>
      <xdr:col>9</xdr:col>
      <xdr:colOff>733425</xdr:colOff>
      <xdr:row>26</xdr:row>
      <xdr:rowOff>304800</xdr:rowOff>
    </xdr:to>
    <xdr:pic>
      <xdr:nvPicPr>
        <xdr:cNvPr id="120030" name="Picture 142" descr="Gás-Caudal do Troço-MP">
          <a:extLst>
            <a:ext uri="{FF2B5EF4-FFF2-40B4-BE49-F238E27FC236}">
              <a16:creationId xmlns:a16="http://schemas.microsoft.com/office/drawing/2014/main" id="{00000000-0008-0000-0400-0000DE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6991350"/>
          <a:ext cx="11144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23</xdr:row>
      <xdr:rowOff>28575</xdr:rowOff>
    </xdr:from>
    <xdr:to>
      <xdr:col>10</xdr:col>
      <xdr:colOff>333375</xdr:colOff>
      <xdr:row>23</xdr:row>
      <xdr:rowOff>523875</xdr:rowOff>
    </xdr:to>
    <xdr:pic>
      <xdr:nvPicPr>
        <xdr:cNvPr id="120031" name="Picture 144" descr="Gás-Caudal do Fogo">
          <a:extLst>
            <a:ext uri="{FF2B5EF4-FFF2-40B4-BE49-F238E27FC236}">
              <a16:creationId xmlns:a16="http://schemas.microsoft.com/office/drawing/2014/main" id="{00000000-0008-0000-0400-0000DF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5819775"/>
          <a:ext cx="14573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22</xdr:row>
      <xdr:rowOff>76200</xdr:rowOff>
    </xdr:from>
    <xdr:to>
      <xdr:col>10</xdr:col>
      <xdr:colOff>571500</xdr:colOff>
      <xdr:row>22</xdr:row>
      <xdr:rowOff>409575</xdr:rowOff>
    </xdr:to>
    <xdr:pic>
      <xdr:nvPicPr>
        <xdr:cNvPr id="120032" name="Picture 145" descr="Gás-Caudais dos Restantes Aparelhos-SOMA">
          <a:extLst>
            <a:ext uri="{FF2B5EF4-FFF2-40B4-BE49-F238E27FC236}">
              <a16:creationId xmlns:a16="http://schemas.microsoft.com/office/drawing/2014/main" id="{00000000-0008-0000-0400-0000E0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5391150"/>
          <a:ext cx="1695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19</xdr:row>
      <xdr:rowOff>66675</xdr:rowOff>
    </xdr:from>
    <xdr:to>
      <xdr:col>12</xdr:col>
      <xdr:colOff>438150</xdr:colOff>
      <xdr:row>20</xdr:row>
      <xdr:rowOff>285750</xdr:rowOff>
    </xdr:to>
    <xdr:pic>
      <xdr:nvPicPr>
        <xdr:cNvPr id="120033" name="Picture 146" descr="Gás-Caudal do Aparelho">
          <a:extLst>
            <a:ext uri="{FF2B5EF4-FFF2-40B4-BE49-F238E27FC236}">
              <a16:creationId xmlns:a16="http://schemas.microsoft.com/office/drawing/2014/main" id="{00000000-0008-0000-0400-0000E1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4324350"/>
          <a:ext cx="31908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44</xdr:row>
      <xdr:rowOff>66675</xdr:rowOff>
    </xdr:from>
    <xdr:to>
      <xdr:col>10</xdr:col>
      <xdr:colOff>447675</xdr:colOff>
      <xdr:row>44</xdr:row>
      <xdr:rowOff>314325</xdr:rowOff>
    </xdr:to>
    <xdr:pic>
      <xdr:nvPicPr>
        <xdr:cNvPr id="120034" name="Picture 147" descr="Gás-Fórmula da Pressão Final Corrigida">
          <a:extLst>
            <a:ext uri="{FF2B5EF4-FFF2-40B4-BE49-F238E27FC236}">
              <a16:creationId xmlns:a16="http://schemas.microsoft.com/office/drawing/2014/main" id="{00000000-0008-0000-0400-0000E2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3354050"/>
          <a:ext cx="15716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104775</xdr:colOff>
      <xdr:row>44</xdr:row>
      <xdr:rowOff>95250</xdr:rowOff>
    </xdr:from>
    <xdr:to>
      <xdr:col>11</xdr:col>
      <xdr:colOff>876300</xdr:colOff>
      <xdr:row>44</xdr:row>
      <xdr:rowOff>342900</xdr:rowOff>
    </xdr:to>
    <xdr:sp macro="" textlink="">
      <xdr:nvSpPr>
        <xdr:cNvPr id="22676" name="Text Box 148">
          <a:extLst>
            <a:ext uri="{FF2B5EF4-FFF2-40B4-BE49-F238E27FC236}">
              <a16:creationId xmlns:a16="http://schemas.microsoft.com/office/drawing/2014/main" id="{00000000-0008-0000-0400-000094580000}"/>
            </a:ext>
          </a:extLst>
        </xdr:cNvPr>
        <xdr:cNvSpPr txBox="1">
          <a:spLocks noChangeArrowheads="1"/>
        </xdr:cNvSpPr>
      </xdr:nvSpPr>
      <xdr:spPr bwMode="auto">
        <a:xfrm>
          <a:off x="9115425" y="13382625"/>
          <a:ext cx="7715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 APTA:</a:t>
          </a:r>
        </a:p>
      </xdr:txBody>
    </xdr:sp>
    <xdr:clientData/>
  </xdr:twoCellAnchor>
  <xdr:twoCellAnchor editAs="oneCell">
    <xdr:from>
      <xdr:col>11</xdr:col>
      <xdr:colOff>876300</xdr:colOff>
      <xdr:row>44</xdr:row>
      <xdr:rowOff>57150</xdr:rowOff>
    </xdr:from>
    <xdr:to>
      <xdr:col>13</xdr:col>
      <xdr:colOff>1095375</xdr:colOff>
      <xdr:row>44</xdr:row>
      <xdr:rowOff>314325</xdr:rowOff>
    </xdr:to>
    <xdr:pic>
      <xdr:nvPicPr>
        <xdr:cNvPr id="120036" name="Picture 149" descr="Gás-Fórmula da Pressão Final Corrigida-APTA">
          <a:extLst>
            <a:ext uri="{FF2B5EF4-FFF2-40B4-BE49-F238E27FC236}">
              <a16:creationId xmlns:a16="http://schemas.microsoft.com/office/drawing/2014/main" id="{00000000-0008-0000-0400-0000E4D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13344525"/>
          <a:ext cx="1590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552495</xdr:colOff>
      <xdr:row>1</xdr:row>
      <xdr:rowOff>38100</xdr:rowOff>
    </xdr:from>
    <xdr:to>
      <xdr:col>13</xdr:col>
      <xdr:colOff>664029</xdr:colOff>
      <xdr:row>5</xdr:row>
      <xdr:rowOff>47625</xdr:rowOff>
    </xdr:to>
    <xdr:grpSp>
      <xdr:nvGrpSpPr>
        <xdr:cNvPr id="120037" name="Grupo 1">
          <a:extLst>
            <a:ext uri="{FF2B5EF4-FFF2-40B4-BE49-F238E27FC236}">
              <a16:creationId xmlns:a16="http://schemas.microsoft.com/office/drawing/2014/main" id="{00000000-0008-0000-0400-0000E5D40100}"/>
            </a:ext>
          </a:extLst>
        </xdr:cNvPr>
        <xdr:cNvGrpSpPr>
          <a:grpSpLocks/>
        </xdr:cNvGrpSpPr>
      </xdr:nvGrpSpPr>
      <xdr:grpSpPr bwMode="auto">
        <a:xfrm>
          <a:off x="8543599" y="112321"/>
          <a:ext cx="3129845" cy="1493940"/>
          <a:chOff x="8086725" y="114300"/>
          <a:chExt cx="2954787" cy="1504950"/>
        </a:xfrm>
      </xdr:grpSpPr>
      <xdr:sp macro="" textlink="">
        <xdr:nvSpPr>
          <xdr:cNvPr id="22614" name="Text Box 86">
            <a:extLst>
              <a:ext uri="{FF2B5EF4-FFF2-40B4-BE49-F238E27FC236}">
                <a16:creationId xmlns:a16="http://schemas.microsoft.com/office/drawing/2014/main" id="{00000000-0008-0000-0400-0000565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84297" y="352425"/>
            <a:ext cx="2757215" cy="3905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Tubos de Aço </a:t>
            </a:r>
          </a:p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10255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ISO 10893-2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 Série Média</a:t>
            </a:r>
          </a:p>
        </xdr:txBody>
      </xdr:sp>
      <xdr:sp macro="" textlink="">
        <xdr:nvSpPr>
          <xdr:cNvPr id="22615" name="Text Box 87">
            <a:extLst>
              <a:ext uri="{FF2B5EF4-FFF2-40B4-BE49-F238E27FC236}">
                <a16:creationId xmlns:a16="http://schemas.microsoft.com/office/drawing/2014/main" id="{00000000-0008-0000-0400-0000575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84297" y="752475"/>
            <a:ext cx="1609725" cy="3905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Acessórios Roscados</a:t>
            </a:r>
          </a:p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10242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 Proj. A</a:t>
            </a:r>
          </a:p>
        </xdr:txBody>
      </xdr:sp>
      <xdr:sp macro="" textlink="">
        <xdr:nvSpPr>
          <xdr:cNvPr id="22616" name="Text Box 88">
            <a:extLst>
              <a:ext uri="{FF2B5EF4-FFF2-40B4-BE49-F238E27FC236}">
                <a16:creationId xmlns:a16="http://schemas.microsoft.com/office/drawing/2014/main" id="{00000000-0008-0000-0400-0000585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86725" y="114300"/>
            <a:ext cx="2647950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Sustentadas no sistema de tubagem</a:t>
            </a:r>
          </a:p>
        </xdr:txBody>
      </xdr:sp>
      <xdr:sp macro="" textlink="">
        <xdr:nvSpPr>
          <xdr:cNvPr id="22629" name="Text Box 101">
            <a:extLst>
              <a:ext uri="{FF2B5EF4-FFF2-40B4-BE49-F238E27FC236}">
                <a16:creationId xmlns:a16="http://schemas.microsoft.com/office/drawing/2014/main" id="{00000000-0008-0000-0400-0000655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84297" y="1171575"/>
            <a:ext cx="2124075" cy="228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Ligação Roscada NP EN 10226-1</a:t>
            </a:r>
          </a:p>
        </xdr:txBody>
      </xdr:sp>
      <xdr:sp macro="" textlink="">
        <xdr:nvSpPr>
          <xdr:cNvPr id="22630" name="Text Box 102">
            <a:extLst>
              <a:ext uri="{FF2B5EF4-FFF2-40B4-BE49-F238E27FC236}">
                <a16:creationId xmlns:a16="http://schemas.microsoft.com/office/drawing/2014/main" id="{00000000-0008-0000-0400-0000665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84297" y="1390650"/>
            <a:ext cx="2333625" cy="228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Materiais de Vedação EN 751-2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ou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</a:t>
            </a:r>
          </a:p>
        </xdr:txBody>
      </xdr:sp>
    </xdr:grpSp>
    <xdr:clientData/>
  </xdr:twoCellAnchor>
  <xdr:twoCellAnchor editAs="oneCell">
    <xdr:from>
      <xdr:col>11</xdr:col>
      <xdr:colOff>714374</xdr:colOff>
      <xdr:row>4</xdr:row>
      <xdr:rowOff>57149</xdr:rowOff>
    </xdr:from>
    <xdr:to>
      <xdr:col>13</xdr:col>
      <xdr:colOff>713037</xdr:colOff>
      <xdr:row>4</xdr:row>
      <xdr:rowOff>447674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5024" y="733424"/>
          <a:ext cx="1370263" cy="390525"/>
        </a:xfrm>
        <a:prstGeom prst="rect">
          <a:avLst/>
        </a:prstGeom>
      </xdr:spPr>
    </xdr:pic>
    <xdr:clientData/>
  </xdr:twoCellAnchor>
  <xdr:twoCellAnchor>
    <xdr:from>
      <xdr:col>0</xdr:col>
      <xdr:colOff>54429</xdr:colOff>
      <xdr:row>1</xdr:row>
      <xdr:rowOff>54429</xdr:rowOff>
    </xdr:from>
    <xdr:to>
      <xdr:col>5</xdr:col>
      <xdr:colOff>1529416</xdr:colOff>
      <xdr:row>4</xdr:row>
      <xdr:rowOff>72663</xdr:rowOff>
    </xdr:to>
    <xdr:sp macro="" textlink="">
      <xdr:nvSpPr>
        <xdr:cNvPr id="49" name="Retângulo: Cantos Arredondados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 bwMode="auto">
        <a:xfrm>
          <a:off x="54429" y="128650"/>
          <a:ext cx="5760000" cy="612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6000">
              <a:schemeClr val="accent6">
                <a:lumMod val="75000"/>
              </a:schemeClr>
            </a:gs>
            <a:gs pos="46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0000" tIns="0" rIns="180000" bIns="0" rtlCol="0" anchor="ctr" upright="1"/>
        <a:lstStyle/>
        <a:p>
          <a:pPr algn="l"/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Procedimento de Dimensionamento de Instalações de Gás Colectivas funcionando a Média Pressão - MP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73232</xdr:colOff>
      <xdr:row>4</xdr:row>
      <xdr:rowOff>281050</xdr:rowOff>
    </xdr:from>
    <xdr:to>
      <xdr:col>5</xdr:col>
      <xdr:colOff>1548219</xdr:colOff>
      <xdr:row>4</xdr:row>
      <xdr:rowOff>593766</xdr:rowOff>
    </xdr:to>
    <xdr:sp macro="" textlink="">
      <xdr:nvSpPr>
        <xdr:cNvPr id="50" name="Retângulo: Cantos Arredondados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 bwMode="auto">
        <a:xfrm>
          <a:off x="73232" y="949037"/>
          <a:ext cx="5760000" cy="312716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1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0000" tIns="0" rIns="180000" bIns="0" rtlCol="0" anchor="ctr" upright="1"/>
        <a:lstStyle/>
        <a:p>
          <a:pPr algn="l"/>
          <a:r>
            <a:rPr lang="pt-PT" sz="12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Pressão de Abastecimento: 100 </a:t>
          </a:r>
          <a:r>
            <a:rPr lang="pt-PT" sz="10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mbar ( 300 mbar no caso da concessionária EDP Gás )</a:t>
          </a:r>
        </a:p>
      </xdr:txBody>
    </xdr:sp>
    <xdr:clientData/>
  </xdr:twoCellAnchor>
  <xdr:twoCellAnchor>
    <xdr:from>
      <xdr:col>11</xdr:col>
      <xdr:colOff>876300</xdr:colOff>
      <xdr:row>54</xdr:row>
      <xdr:rowOff>1</xdr:rowOff>
    </xdr:from>
    <xdr:to>
      <xdr:col>13</xdr:col>
      <xdr:colOff>1213226</xdr:colOff>
      <xdr:row>58</xdr:row>
      <xdr:rowOff>179614</xdr:rowOff>
    </xdr:to>
    <xdr:grpSp>
      <xdr:nvGrpSpPr>
        <xdr:cNvPr id="51" name="Agrupar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GrpSpPr/>
      </xdr:nvGrpSpPr>
      <xdr:grpSpPr>
        <a:xfrm>
          <a:off x="10435936" y="17060884"/>
          <a:ext cx="1786705" cy="847600"/>
          <a:chOff x="15838809" y="11053948"/>
          <a:chExt cx="1730599" cy="881920"/>
        </a:xfrm>
      </xdr:grpSpPr>
      <xdr:pic>
        <xdr:nvPicPr>
          <xdr:cNvPr id="52" name="Picture 5501" descr="Resize of logoapta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4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415674" y="11053948"/>
            <a:ext cx="1093192" cy="6659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3" name="Text Box 5512">
            <a:extLst>
              <a:ext uri="{FF2B5EF4-FFF2-40B4-BE49-F238E27FC236}">
                <a16:creationId xmlns:a16="http://schemas.microsoft.com/office/drawing/2014/main" id="{00000000-0008-0000-0400-00003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46899" y="11765940"/>
            <a:ext cx="1422509" cy="1583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0" tIns="22860" rIns="27432" bIns="0" anchor="t" upright="1"/>
          <a:lstStyle/>
          <a:p>
            <a:pPr algn="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 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54" name="Text Box 5515">
            <a:hlinkClick xmlns:r="http://schemas.openxmlformats.org/officeDocument/2006/relationships" r:id="rId25"/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44947" y="11430224"/>
            <a:ext cx="818260" cy="19769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</xdr:txBody>
      </xdr:sp>
      <xdr:sp macro="" textlink="">
        <xdr:nvSpPr>
          <xdr:cNvPr id="55" name="Text Box 5510"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22558" y="11741615"/>
            <a:ext cx="335959" cy="1942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  <xdr:sp macro="" textlink="">
        <xdr:nvSpPr>
          <xdr:cNvPr id="56" name="Text Box 5515">
            <a:hlinkClick xmlns:r="http://schemas.openxmlformats.org/officeDocument/2006/relationships" r:id="rId26"/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8809" y="11603181"/>
            <a:ext cx="818904" cy="16563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0" rIns="27432" bIns="0" anchor="t" upright="1"/>
          <a:lstStyle/>
          <a:p>
            <a:pPr algn="ctr" rtl="0">
              <a:defRPr sz="1000"/>
            </a:pPr>
            <a:r>
              <a:rPr lang="pt-PT" sz="9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42</xdr:row>
      <xdr:rowOff>9525</xdr:rowOff>
    </xdr:from>
    <xdr:to>
      <xdr:col>10</xdr:col>
      <xdr:colOff>628650</xdr:colOff>
      <xdr:row>43</xdr:row>
      <xdr:rowOff>9525</xdr:rowOff>
    </xdr:to>
    <xdr:sp macro="" textlink="">
      <xdr:nvSpPr>
        <xdr:cNvPr id="21527" name="Text Box 23">
          <a:extLst>
            <a:ext uri="{FF2B5EF4-FFF2-40B4-BE49-F238E27FC236}">
              <a16:creationId xmlns:a16="http://schemas.microsoft.com/office/drawing/2014/main" id="{00000000-0008-0000-0500-000017540000}"/>
            </a:ext>
          </a:extLst>
        </xdr:cNvPr>
        <xdr:cNvSpPr txBox="1">
          <a:spLocks noChangeArrowheads="1"/>
        </xdr:cNvSpPr>
      </xdr:nvSpPr>
      <xdr:spPr bwMode="auto">
        <a:xfrm>
          <a:off x="7334250" y="12849225"/>
          <a:ext cx="1724025" cy="219075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Fórmula de Renouard - BP</a:t>
          </a:r>
        </a:p>
      </xdr:txBody>
    </xdr:sp>
    <xdr:clientData/>
  </xdr:twoCellAnchor>
  <xdr:twoCellAnchor editAs="oneCell">
    <xdr:from>
      <xdr:col>8</xdr:col>
      <xdr:colOff>114300</xdr:colOff>
      <xdr:row>48</xdr:row>
      <xdr:rowOff>57150</xdr:rowOff>
    </xdr:from>
    <xdr:to>
      <xdr:col>10</xdr:col>
      <xdr:colOff>66675</xdr:colOff>
      <xdr:row>48</xdr:row>
      <xdr:rowOff>304800</xdr:rowOff>
    </xdr:to>
    <xdr:pic>
      <xdr:nvPicPr>
        <xdr:cNvPr id="121028" name="Picture 95" descr="Gás-Fórmula da Perda de Carga Acumul-BP">
          <a:extLst>
            <a:ext uri="{FF2B5EF4-FFF2-40B4-BE49-F238E27FC236}">
              <a16:creationId xmlns:a16="http://schemas.microsoft.com/office/drawing/2014/main" id="{00000000-0008-0000-0500-0000C4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5240000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47</xdr:row>
      <xdr:rowOff>38100</xdr:rowOff>
    </xdr:from>
    <xdr:to>
      <xdr:col>9</xdr:col>
      <xdr:colOff>428625</xdr:colOff>
      <xdr:row>47</xdr:row>
      <xdr:rowOff>304800</xdr:rowOff>
    </xdr:to>
    <xdr:pic>
      <xdr:nvPicPr>
        <xdr:cNvPr id="121029" name="Picture 96" descr="Gás-Fórmula da Perda de Carga no Troço">
          <a:extLst>
            <a:ext uri="{FF2B5EF4-FFF2-40B4-BE49-F238E27FC236}">
              <a16:creationId xmlns:a16="http://schemas.microsoft.com/office/drawing/2014/main" id="{00000000-0008-0000-0500-0000C5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4887575"/>
          <a:ext cx="876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45</xdr:row>
      <xdr:rowOff>76200</xdr:rowOff>
    </xdr:from>
    <xdr:to>
      <xdr:col>10</xdr:col>
      <xdr:colOff>409575</xdr:colOff>
      <xdr:row>45</xdr:row>
      <xdr:rowOff>323850</xdr:rowOff>
    </xdr:to>
    <xdr:pic>
      <xdr:nvPicPr>
        <xdr:cNvPr id="121030" name="Picture 97" descr="Gás-Fórmula da Pressão Final Corrigida">
          <a:extLst>
            <a:ext uri="{FF2B5EF4-FFF2-40B4-BE49-F238E27FC236}">
              <a16:creationId xmlns:a16="http://schemas.microsoft.com/office/drawing/2014/main" id="{00000000-0008-0000-0500-0000C6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3954125"/>
          <a:ext cx="15716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43</xdr:row>
      <xdr:rowOff>47625</xdr:rowOff>
    </xdr:from>
    <xdr:to>
      <xdr:col>10</xdr:col>
      <xdr:colOff>666750</xdr:colOff>
      <xdr:row>44</xdr:row>
      <xdr:rowOff>333375</xdr:rowOff>
    </xdr:to>
    <xdr:pic>
      <xdr:nvPicPr>
        <xdr:cNvPr id="121031" name="Picture 98" descr="Gás-Fórmula de Renouard-BP">
          <a:extLst>
            <a:ext uri="{FF2B5EF4-FFF2-40B4-BE49-F238E27FC236}">
              <a16:creationId xmlns:a16="http://schemas.microsoft.com/office/drawing/2014/main" id="{00000000-0008-0000-0500-0000C7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3106400"/>
          <a:ext cx="18288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152400</xdr:colOff>
      <xdr:row>54</xdr:row>
      <xdr:rowOff>9525</xdr:rowOff>
    </xdr:from>
    <xdr:to>
      <xdr:col>13</xdr:col>
      <xdr:colOff>1190625</xdr:colOff>
      <xdr:row>58</xdr:row>
      <xdr:rowOff>114300</xdr:rowOff>
    </xdr:to>
    <xdr:grpSp>
      <xdr:nvGrpSpPr>
        <xdr:cNvPr id="121032" name="Group 100">
          <a:extLst>
            <a:ext uri="{FF2B5EF4-FFF2-40B4-BE49-F238E27FC236}">
              <a16:creationId xmlns:a16="http://schemas.microsoft.com/office/drawing/2014/main" id="{00000000-0008-0000-0500-0000C8D80100}"/>
            </a:ext>
          </a:extLst>
        </xdr:cNvPr>
        <xdr:cNvGrpSpPr>
          <a:grpSpLocks/>
        </xdr:cNvGrpSpPr>
      </xdr:nvGrpSpPr>
      <xdr:grpSpPr bwMode="auto">
        <a:xfrm>
          <a:off x="10741231" y="17421720"/>
          <a:ext cx="1572615" cy="728229"/>
          <a:chOff x="1047" y="1851"/>
          <a:chExt cx="162" cy="78"/>
        </a:xfrm>
      </xdr:grpSpPr>
      <xdr:pic>
        <xdr:nvPicPr>
          <xdr:cNvPr id="121069" name="Picture 101" descr="Resize of logoapta">
            <a:extLst>
              <a:ext uri="{FF2B5EF4-FFF2-40B4-BE49-F238E27FC236}">
                <a16:creationId xmlns:a16="http://schemas.microsoft.com/office/drawing/2014/main" id="{00000000-0008-0000-0500-0000EDD801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2" y="1851"/>
            <a:ext cx="90" cy="5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1606" name="Text Box 102">
            <a:extLst>
              <a:ext uri="{FF2B5EF4-FFF2-40B4-BE49-F238E27FC236}">
                <a16:creationId xmlns:a16="http://schemas.microsoft.com/office/drawing/2014/main" id="{00000000-0008-0000-0500-000066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3" y="1910"/>
            <a:ext cx="136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21607" name="Text Box 103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500-000067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7" y="1882"/>
            <a:ext cx="71" cy="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  <xdr:sp macro="" textlink="">
        <xdr:nvSpPr>
          <xdr:cNvPr id="21608" name="Text Box 104">
            <a:extLst>
              <a:ext uri="{FF2B5EF4-FFF2-40B4-BE49-F238E27FC236}">
                <a16:creationId xmlns:a16="http://schemas.microsoft.com/office/drawing/2014/main" id="{00000000-0008-0000-0500-000068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1" y="1907"/>
            <a:ext cx="25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</xdr:grpSp>
    <xdr:clientData/>
  </xdr:twoCellAnchor>
  <xdr:twoCellAnchor editAs="oneCell">
    <xdr:from>
      <xdr:col>8</xdr:col>
      <xdr:colOff>114300</xdr:colOff>
      <xdr:row>50</xdr:row>
      <xdr:rowOff>57150</xdr:rowOff>
    </xdr:from>
    <xdr:to>
      <xdr:col>10</xdr:col>
      <xdr:colOff>352425</xdr:colOff>
      <xdr:row>50</xdr:row>
      <xdr:rowOff>304800</xdr:rowOff>
    </xdr:to>
    <xdr:pic>
      <xdr:nvPicPr>
        <xdr:cNvPr id="121033" name="Picture 106" descr="Gás-Fórmula da Pressão Média-BP-Versão2">
          <a:extLst>
            <a:ext uri="{FF2B5EF4-FFF2-40B4-BE49-F238E27FC236}">
              <a16:creationId xmlns:a16="http://schemas.microsoft.com/office/drawing/2014/main" id="{00000000-0008-0000-0500-0000C9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5973425"/>
          <a:ext cx="14954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51</xdr:row>
      <xdr:rowOff>47625</xdr:rowOff>
    </xdr:from>
    <xdr:to>
      <xdr:col>10</xdr:col>
      <xdr:colOff>647700</xdr:colOff>
      <xdr:row>51</xdr:row>
      <xdr:rowOff>323850</xdr:rowOff>
    </xdr:to>
    <xdr:pic>
      <xdr:nvPicPr>
        <xdr:cNvPr id="121034" name="Picture 108" descr="Gás-Fórmula da Velocidade-Versão3">
          <a:extLst>
            <a:ext uri="{FF2B5EF4-FFF2-40B4-BE49-F238E27FC236}">
              <a16:creationId xmlns:a16="http://schemas.microsoft.com/office/drawing/2014/main" id="{00000000-0008-0000-0500-0000CA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6325850"/>
          <a:ext cx="17907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666750</xdr:colOff>
      <xdr:row>48</xdr:row>
      <xdr:rowOff>76200</xdr:rowOff>
    </xdr:from>
    <xdr:to>
      <xdr:col>11</xdr:col>
      <xdr:colOff>238125</xdr:colOff>
      <xdr:row>48</xdr:row>
      <xdr:rowOff>323850</xdr:rowOff>
    </xdr:to>
    <xdr:sp macro="" textlink="">
      <xdr:nvSpPr>
        <xdr:cNvPr id="21613" name="Text Box 109">
          <a:extLst>
            <a:ext uri="{FF2B5EF4-FFF2-40B4-BE49-F238E27FC236}">
              <a16:creationId xmlns:a16="http://schemas.microsoft.com/office/drawing/2014/main" id="{00000000-0008-0000-0500-00006D540000}"/>
            </a:ext>
          </a:extLst>
        </xdr:cNvPr>
        <xdr:cNvSpPr txBox="1">
          <a:spLocks noChangeArrowheads="1"/>
        </xdr:cNvSpPr>
      </xdr:nvSpPr>
      <xdr:spPr bwMode="auto">
        <a:xfrm>
          <a:off x="8401050" y="15259050"/>
          <a:ext cx="9429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Gás Natural</a:t>
          </a:r>
        </a:p>
      </xdr:txBody>
    </xdr:sp>
    <xdr:clientData/>
  </xdr:twoCellAnchor>
  <xdr:twoCellAnchor>
    <xdr:from>
      <xdr:col>13</xdr:col>
      <xdr:colOff>95250</xdr:colOff>
      <xdr:row>48</xdr:row>
      <xdr:rowOff>76200</xdr:rowOff>
    </xdr:from>
    <xdr:to>
      <xdr:col>13</xdr:col>
      <xdr:colOff>1038225</xdr:colOff>
      <xdr:row>48</xdr:row>
      <xdr:rowOff>323850</xdr:rowOff>
    </xdr:to>
    <xdr:sp macro="" textlink="">
      <xdr:nvSpPr>
        <xdr:cNvPr id="21614" name="Text Box 110">
          <a:extLst>
            <a:ext uri="{FF2B5EF4-FFF2-40B4-BE49-F238E27FC236}">
              <a16:creationId xmlns:a16="http://schemas.microsoft.com/office/drawing/2014/main" id="{00000000-0008-0000-0500-00006E540000}"/>
            </a:ext>
          </a:extLst>
        </xdr:cNvPr>
        <xdr:cNvSpPr txBox="1">
          <a:spLocks noChangeArrowheads="1"/>
        </xdr:cNvSpPr>
      </xdr:nvSpPr>
      <xdr:spPr bwMode="auto">
        <a:xfrm>
          <a:off x="10582275" y="15259050"/>
          <a:ext cx="9429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Gás Propano</a:t>
          </a:r>
        </a:p>
      </xdr:txBody>
    </xdr:sp>
    <xdr:clientData/>
  </xdr:twoCellAnchor>
  <xdr:twoCellAnchor editAs="oneCell">
    <xdr:from>
      <xdr:col>11</xdr:col>
      <xdr:colOff>323850</xdr:colOff>
      <xdr:row>48</xdr:row>
      <xdr:rowOff>57150</xdr:rowOff>
    </xdr:from>
    <xdr:to>
      <xdr:col>13</xdr:col>
      <xdr:colOff>142875</xdr:colOff>
      <xdr:row>48</xdr:row>
      <xdr:rowOff>304800</xdr:rowOff>
    </xdr:to>
    <xdr:pic>
      <xdr:nvPicPr>
        <xdr:cNvPr id="121037" name="Picture 112" descr="Gás-Fórmula da Perda de Carga Acumul-BP-Propano">
          <a:extLst>
            <a:ext uri="{FF2B5EF4-FFF2-40B4-BE49-F238E27FC236}">
              <a16:creationId xmlns:a16="http://schemas.microsoft.com/office/drawing/2014/main" id="{00000000-0008-0000-0500-0000CD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15240000"/>
          <a:ext cx="12001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457200</xdr:colOff>
      <xdr:row>42</xdr:row>
      <xdr:rowOff>9525</xdr:rowOff>
    </xdr:from>
    <xdr:to>
      <xdr:col>13</xdr:col>
      <xdr:colOff>1104900</xdr:colOff>
      <xdr:row>43</xdr:row>
      <xdr:rowOff>9525</xdr:rowOff>
    </xdr:to>
    <xdr:sp macro="" textlink="">
      <xdr:nvSpPr>
        <xdr:cNvPr id="21617" name="Text Box 113">
          <a:extLst>
            <a:ext uri="{FF2B5EF4-FFF2-40B4-BE49-F238E27FC236}">
              <a16:creationId xmlns:a16="http://schemas.microsoft.com/office/drawing/2014/main" id="{00000000-0008-0000-0500-000071540000}"/>
            </a:ext>
          </a:extLst>
        </xdr:cNvPr>
        <xdr:cNvSpPr txBox="1">
          <a:spLocks noChangeArrowheads="1"/>
        </xdr:cNvSpPr>
      </xdr:nvSpPr>
      <xdr:spPr bwMode="auto">
        <a:xfrm>
          <a:off x="9563100" y="12849225"/>
          <a:ext cx="2028825" cy="219075"/>
        </a:xfrm>
        <a:prstGeom prst="rect">
          <a:avLst/>
        </a:prstGeom>
        <a:solidFill>
          <a:srgbClr val="EAEAEA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Fórmula de Renouard - BP (APTA)</a:t>
          </a:r>
        </a:p>
      </xdr:txBody>
    </xdr:sp>
    <xdr:clientData/>
  </xdr:twoCellAnchor>
  <xdr:twoCellAnchor editAs="oneCell">
    <xdr:from>
      <xdr:col>11</xdr:col>
      <xdr:colOff>695325</xdr:colOff>
      <xdr:row>43</xdr:row>
      <xdr:rowOff>47625</xdr:rowOff>
    </xdr:from>
    <xdr:to>
      <xdr:col>13</xdr:col>
      <xdr:colOff>1104900</xdr:colOff>
      <xdr:row>44</xdr:row>
      <xdr:rowOff>323850</xdr:rowOff>
    </xdr:to>
    <xdr:pic>
      <xdr:nvPicPr>
        <xdr:cNvPr id="121039" name="Picture 114" descr="Gás-Fórmula de Renouard-BP-APTA">
          <a:extLst>
            <a:ext uri="{FF2B5EF4-FFF2-40B4-BE49-F238E27FC236}">
              <a16:creationId xmlns:a16="http://schemas.microsoft.com/office/drawing/2014/main" id="{00000000-0008-0000-0500-0000CF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1225" y="13106400"/>
          <a:ext cx="17907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200025</xdr:colOff>
      <xdr:row>43</xdr:row>
      <xdr:rowOff>200025</xdr:rowOff>
    </xdr:from>
    <xdr:to>
      <xdr:col>11</xdr:col>
      <xdr:colOff>714375</xdr:colOff>
      <xdr:row>44</xdr:row>
      <xdr:rowOff>171450</xdr:rowOff>
    </xdr:to>
    <xdr:sp macro="" textlink="">
      <xdr:nvSpPr>
        <xdr:cNvPr id="21619" name="Text Box 115">
          <a:extLst>
            <a:ext uri="{FF2B5EF4-FFF2-40B4-BE49-F238E27FC236}">
              <a16:creationId xmlns:a16="http://schemas.microsoft.com/office/drawing/2014/main" id="{00000000-0008-0000-0500-000073540000}"/>
            </a:ext>
          </a:extLst>
        </xdr:cNvPr>
        <xdr:cNvSpPr txBox="1">
          <a:spLocks noChangeArrowheads="1"/>
        </xdr:cNvSpPr>
      </xdr:nvSpPr>
      <xdr:spPr bwMode="auto">
        <a:xfrm>
          <a:off x="9305925" y="1325880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Opção:</a:t>
          </a:r>
        </a:p>
      </xdr:txBody>
    </xdr:sp>
    <xdr:clientData/>
  </xdr:twoCellAnchor>
  <xdr:twoCellAnchor editAs="oneCell">
    <xdr:from>
      <xdr:col>8</xdr:col>
      <xdr:colOff>95250</xdr:colOff>
      <xdr:row>38</xdr:row>
      <xdr:rowOff>28575</xdr:rowOff>
    </xdr:from>
    <xdr:to>
      <xdr:col>10</xdr:col>
      <xdr:colOff>647700</xdr:colOff>
      <xdr:row>38</xdr:row>
      <xdr:rowOff>333375</xdr:rowOff>
    </xdr:to>
    <xdr:pic>
      <xdr:nvPicPr>
        <xdr:cNvPr id="121041" name="Picture 116" descr="Gás-Diâmetro de Cálculo-BP">
          <a:extLst>
            <a:ext uri="{FF2B5EF4-FFF2-40B4-BE49-F238E27FC236}">
              <a16:creationId xmlns:a16="http://schemas.microsoft.com/office/drawing/2014/main" id="{00000000-0008-0000-0500-0000D1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1172825"/>
          <a:ext cx="1809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752475</xdr:colOff>
      <xdr:row>38</xdr:row>
      <xdr:rowOff>38100</xdr:rowOff>
    </xdr:from>
    <xdr:to>
      <xdr:col>13</xdr:col>
      <xdr:colOff>1143000</xdr:colOff>
      <xdr:row>38</xdr:row>
      <xdr:rowOff>342900</xdr:rowOff>
    </xdr:to>
    <xdr:pic>
      <xdr:nvPicPr>
        <xdr:cNvPr id="121042" name="Picture 117" descr="Gás-Diâmetro de Cálculo-BP-APTA">
          <a:extLst>
            <a:ext uri="{FF2B5EF4-FFF2-40B4-BE49-F238E27FC236}">
              <a16:creationId xmlns:a16="http://schemas.microsoft.com/office/drawing/2014/main" id="{00000000-0008-0000-0500-0000D2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58375" y="11182350"/>
          <a:ext cx="17716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38</xdr:row>
      <xdr:rowOff>85725</xdr:rowOff>
    </xdr:from>
    <xdr:to>
      <xdr:col>11</xdr:col>
      <xdr:colOff>790575</xdr:colOff>
      <xdr:row>38</xdr:row>
      <xdr:rowOff>333375</xdr:rowOff>
    </xdr:to>
    <xdr:sp macro="" textlink="">
      <xdr:nvSpPr>
        <xdr:cNvPr id="21622" name="Text Box 118">
          <a:extLst>
            <a:ext uri="{FF2B5EF4-FFF2-40B4-BE49-F238E27FC236}">
              <a16:creationId xmlns:a16="http://schemas.microsoft.com/office/drawing/2014/main" id="{00000000-0008-0000-0500-000076540000}"/>
            </a:ext>
          </a:extLst>
        </xdr:cNvPr>
        <xdr:cNvSpPr txBox="1">
          <a:spLocks noChangeArrowheads="1"/>
        </xdr:cNvSpPr>
      </xdr:nvSpPr>
      <xdr:spPr bwMode="auto">
        <a:xfrm>
          <a:off x="9124950" y="11229975"/>
          <a:ext cx="7715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 APTA:</a:t>
          </a:r>
        </a:p>
      </xdr:txBody>
    </xdr:sp>
    <xdr:clientData/>
  </xdr:twoCellAnchor>
  <xdr:twoCellAnchor>
    <xdr:from>
      <xdr:col>13</xdr:col>
      <xdr:colOff>114300</xdr:colOff>
      <xdr:row>49</xdr:row>
      <xdr:rowOff>85725</xdr:rowOff>
    </xdr:from>
    <xdr:to>
      <xdr:col>13</xdr:col>
      <xdr:colOff>1162050</xdr:colOff>
      <xdr:row>49</xdr:row>
      <xdr:rowOff>304800</xdr:rowOff>
    </xdr:to>
    <xdr:sp macro="" textlink="">
      <xdr:nvSpPr>
        <xdr:cNvPr id="21623" name="Text Box 119">
          <a:extLst>
            <a:ext uri="{FF2B5EF4-FFF2-40B4-BE49-F238E27FC236}">
              <a16:creationId xmlns:a16="http://schemas.microsoft.com/office/drawing/2014/main" id="{00000000-0008-0000-0500-000077540000}"/>
            </a:ext>
          </a:extLst>
        </xdr:cNvPr>
        <xdr:cNvSpPr txBox="1">
          <a:spLocks noChangeArrowheads="1"/>
        </xdr:cNvSpPr>
      </xdr:nvSpPr>
      <xdr:spPr bwMode="auto">
        <a:xfrm>
          <a:off x="10601325" y="15621000"/>
          <a:ext cx="10477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Fórmula Geral</a:t>
          </a:r>
        </a:p>
      </xdr:txBody>
    </xdr:sp>
    <xdr:clientData/>
  </xdr:twoCellAnchor>
  <xdr:twoCellAnchor editAs="oneCell">
    <xdr:from>
      <xdr:col>11</xdr:col>
      <xdr:colOff>323850</xdr:colOff>
      <xdr:row>49</xdr:row>
      <xdr:rowOff>57150</xdr:rowOff>
    </xdr:from>
    <xdr:to>
      <xdr:col>13</xdr:col>
      <xdr:colOff>152400</xdr:colOff>
      <xdr:row>49</xdr:row>
      <xdr:rowOff>304800</xdr:rowOff>
    </xdr:to>
    <xdr:pic>
      <xdr:nvPicPr>
        <xdr:cNvPr id="121045" name="Picture 120" descr="Gás-Fórmula Geral da Perda de Carga Acumul">
          <a:extLst>
            <a:ext uri="{FF2B5EF4-FFF2-40B4-BE49-F238E27FC236}">
              <a16:creationId xmlns:a16="http://schemas.microsoft.com/office/drawing/2014/main" id="{00000000-0008-0000-0500-0000D5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15592425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36</xdr:row>
      <xdr:rowOff>28575</xdr:rowOff>
    </xdr:from>
    <xdr:to>
      <xdr:col>10</xdr:col>
      <xdr:colOff>28575</xdr:colOff>
      <xdr:row>36</xdr:row>
      <xdr:rowOff>266700</xdr:rowOff>
    </xdr:to>
    <xdr:pic>
      <xdr:nvPicPr>
        <xdr:cNvPr id="121046" name="Picture 121" descr="Gás-Perda de Carga Média-BP">
          <a:extLst>
            <a:ext uri="{FF2B5EF4-FFF2-40B4-BE49-F238E27FC236}">
              <a16:creationId xmlns:a16="http://schemas.microsoft.com/office/drawing/2014/main" id="{00000000-0008-0000-0500-0000D6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0677525"/>
          <a:ext cx="1190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123825</xdr:colOff>
      <xdr:row>35</xdr:row>
      <xdr:rowOff>47625</xdr:rowOff>
    </xdr:from>
    <xdr:to>
      <xdr:col>13</xdr:col>
      <xdr:colOff>1143000</xdr:colOff>
      <xdr:row>35</xdr:row>
      <xdr:rowOff>276225</xdr:rowOff>
    </xdr:to>
    <xdr:pic>
      <xdr:nvPicPr>
        <xdr:cNvPr id="121047" name="Picture 122" descr="Gás-Comprimento Equivalente Máximo-20%">
          <a:extLst>
            <a:ext uri="{FF2B5EF4-FFF2-40B4-BE49-F238E27FC236}">
              <a16:creationId xmlns:a16="http://schemas.microsoft.com/office/drawing/2014/main" id="{00000000-0008-0000-0500-0000D7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0850" y="10372725"/>
          <a:ext cx="1019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35</xdr:row>
      <xdr:rowOff>38100</xdr:rowOff>
    </xdr:from>
    <xdr:to>
      <xdr:col>9</xdr:col>
      <xdr:colOff>685800</xdr:colOff>
      <xdr:row>35</xdr:row>
      <xdr:rowOff>285750</xdr:rowOff>
    </xdr:to>
    <xdr:pic>
      <xdr:nvPicPr>
        <xdr:cNvPr id="121048" name="Picture 123" descr="Gás-Comprimento Equivalente Máximo">
          <a:extLst>
            <a:ext uri="{FF2B5EF4-FFF2-40B4-BE49-F238E27FC236}">
              <a16:creationId xmlns:a16="http://schemas.microsoft.com/office/drawing/2014/main" id="{00000000-0008-0000-0500-0000D8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0363200"/>
          <a:ext cx="1152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9525</xdr:colOff>
      <xdr:row>35</xdr:row>
      <xdr:rowOff>66675</xdr:rowOff>
    </xdr:from>
    <xdr:to>
      <xdr:col>13</xdr:col>
      <xdr:colOff>161925</xdr:colOff>
      <xdr:row>35</xdr:row>
      <xdr:rowOff>304800</xdr:rowOff>
    </xdr:to>
    <xdr:sp macro="" textlink="">
      <xdr:nvSpPr>
        <xdr:cNvPr id="21628" name="Text Box 124">
          <a:extLst>
            <a:ext uri="{FF2B5EF4-FFF2-40B4-BE49-F238E27FC236}">
              <a16:creationId xmlns:a16="http://schemas.microsoft.com/office/drawing/2014/main" id="{00000000-0008-0000-0500-00007C540000}"/>
            </a:ext>
          </a:extLst>
        </xdr:cNvPr>
        <xdr:cNvSpPr txBox="1">
          <a:spLocks noChangeArrowheads="1"/>
        </xdr:cNvSpPr>
      </xdr:nvSpPr>
      <xdr:spPr bwMode="auto">
        <a:xfrm>
          <a:off x="9115425" y="10391775"/>
          <a:ext cx="15335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Valor adoptado por defeito:</a:t>
          </a:r>
        </a:p>
      </xdr:txBody>
    </xdr:sp>
    <xdr:clientData/>
  </xdr:twoCellAnchor>
  <xdr:twoCellAnchor editAs="oneCell">
    <xdr:from>
      <xdr:col>8</xdr:col>
      <xdr:colOff>95250</xdr:colOff>
      <xdr:row>33</xdr:row>
      <xdr:rowOff>28575</xdr:rowOff>
    </xdr:from>
    <xdr:to>
      <xdr:col>9</xdr:col>
      <xdr:colOff>371475</xdr:colOff>
      <xdr:row>33</xdr:row>
      <xdr:rowOff>285750</xdr:rowOff>
    </xdr:to>
    <xdr:pic>
      <xdr:nvPicPr>
        <xdr:cNvPr id="121050" name="Picture 125" descr="Gás-Comprimento Equivalente">
          <a:extLst>
            <a:ext uri="{FF2B5EF4-FFF2-40B4-BE49-F238E27FC236}">
              <a16:creationId xmlns:a16="http://schemas.microsoft.com/office/drawing/2014/main" id="{00000000-0008-0000-0500-0000DA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9705975"/>
          <a:ext cx="838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33</xdr:row>
      <xdr:rowOff>38100</xdr:rowOff>
    </xdr:from>
    <xdr:to>
      <xdr:col>13</xdr:col>
      <xdr:colOff>1162050</xdr:colOff>
      <xdr:row>33</xdr:row>
      <xdr:rowOff>285750</xdr:rowOff>
    </xdr:to>
    <xdr:pic>
      <xdr:nvPicPr>
        <xdr:cNvPr id="121051" name="Picture 126" descr="Gás-Comprimento Equivalente-Opção Perdas Localizadas">
          <a:extLst>
            <a:ext uri="{FF2B5EF4-FFF2-40B4-BE49-F238E27FC236}">
              <a16:creationId xmlns:a16="http://schemas.microsoft.com/office/drawing/2014/main" id="{00000000-0008-0000-0500-0000DB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9715500"/>
          <a:ext cx="10763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438150</xdr:colOff>
      <xdr:row>33</xdr:row>
      <xdr:rowOff>66675</xdr:rowOff>
    </xdr:from>
    <xdr:to>
      <xdr:col>13</xdr:col>
      <xdr:colOff>133350</xdr:colOff>
      <xdr:row>33</xdr:row>
      <xdr:rowOff>276225</xdr:rowOff>
    </xdr:to>
    <xdr:sp macro="" textlink="">
      <xdr:nvSpPr>
        <xdr:cNvPr id="21631" name="Text Box 127">
          <a:extLst>
            <a:ext uri="{FF2B5EF4-FFF2-40B4-BE49-F238E27FC236}">
              <a16:creationId xmlns:a16="http://schemas.microsoft.com/office/drawing/2014/main" id="{00000000-0008-0000-0500-00007F540000}"/>
            </a:ext>
          </a:extLst>
        </xdr:cNvPr>
        <xdr:cNvSpPr txBox="1">
          <a:spLocks noChangeArrowheads="1"/>
        </xdr:cNvSpPr>
      </xdr:nvSpPr>
      <xdr:spPr bwMode="auto">
        <a:xfrm>
          <a:off x="8172450" y="9744075"/>
          <a:ext cx="2447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Opção:</a:t>
          </a: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método do comprimento equivalente:</a:t>
          </a:r>
        </a:p>
      </xdr:txBody>
    </xdr:sp>
    <xdr:clientData/>
  </xdr:twoCellAnchor>
  <xdr:twoCellAnchor editAs="oneCell">
    <xdr:from>
      <xdr:col>8</xdr:col>
      <xdr:colOff>95250</xdr:colOff>
      <xdr:row>26</xdr:row>
      <xdr:rowOff>190500</xdr:rowOff>
    </xdr:from>
    <xdr:to>
      <xdr:col>9</xdr:col>
      <xdr:colOff>581025</xdr:colOff>
      <xdr:row>26</xdr:row>
      <xdr:rowOff>466725</xdr:rowOff>
    </xdr:to>
    <xdr:pic>
      <xdr:nvPicPr>
        <xdr:cNvPr id="121053" name="Picture 128" descr="Gás-Caudal do Troço 1 Aparelho-BP">
          <a:extLst>
            <a:ext uri="{FF2B5EF4-FFF2-40B4-BE49-F238E27FC236}">
              <a16:creationId xmlns:a16="http://schemas.microsoft.com/office/drawing/2014/main" id="{00000000-0008-0000-0500-0000DD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6838950"/>
          <a:ext cx="1047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27</xdr:row>
      <xdr:rowOff>142875</xdr:rowOff>
    </xdr:from>
    <xdr:to>
      <xdr:col>10</xdr:col>
      <xdr:colOff>628650</xdr:colOff>
      <xdr:row>27</xdr:row>
      <xdr:rowOff>409575</xdr:rowOff>
    </xdr:to>
    <xdr:pic>
      <xdr:nvPicPr>
        <xdr:cNvPr id="121054" name="Picture 129" descr="Gás-Caudal do Troço 2 Aparelhos-BP">
          <a:extLst>
            <a:ext uri="{FF2B5EF4-FFF2-40B4-BE49-F238E27FC236}">
              <a16:creationId xmlns:a16="http://schemas.microsoft.com/office/drawing/2014/main" id="{00000000-0008-0000-0500-0000DE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7372350"/>
          <a:ext cx="1790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28</xdr:row>
      <xdr:rowOff>57150</xdr:rowOff>
    </xdr:from>
    <xdr:to>
      <xdr:col>11</xdr:col>
      <xdr:colOff>57150</xdr:colOff>
      <xdr:row>28</xdr:row>
      <xdr:rowOff>542925</xdr:rowOff>
    </xdr:to>
    <xdr:pic>
      <xdr:nvPicPr>
        <xdr:cNvPr id="121055" name="Picture 130" descr="Gás-Caudal do Troço 3 Aparelhos-BP">
          <a:extLst>
            <a:ext uri="{FF2B5EF4-FFF2-40B4-BE49-F238E27FC236}">
              <a16:creationId xmlns:a16="http://schemas.microsoft.com/office/drawing/2014/main" id="{00000000-0008-0000-0500-0000DF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7839075"/>
          <a:ext cx="18954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24</xdr:row>
      <xdr:rowOff>28575</xdr:rowOff>
    </xdr:from>
    <xdr:to>
      <xdr:col>10</xdr:col>
      <xdr:colOff>295275</xdr:colOff>
      <xdr:row>24</xdr:row>
      <xdr:rowOff>523875</xdr:rowOff>
    </xdr:to>
    <xdr:pic>
      <xdr:nvPicPr>
        <xdr:cNvPr id="121056" name="Picture 131" descr="Gás-Caudal do Fogo">
          <a:extLst>
            <a:ext uri="{FF2B5EF4-FFF2-40B4-BE49-F238E27FC236}">
              <a16:creationId xmlns:a16="http://schemas.microsoft.com/office/drawing/2014/main" id="{00000000-0008-0000-0500-0000E0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5772150"/>
          <a:ext cx="14573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23</xdr:row>
      <xdr:rowOff>57150</xdr:rowOff>
    </xdr:from>
    <xdr:to>
      <xdr:col>10</xdr:col>
      <xdr:colOff>533400</xdr:colOff>
      <xdr:row>23</xdr:row>
      <xdr:rowOff>390525</xdr:rowOff>
    </xdr:to>
    <xdr:pic>
      <xdr:nvPicPr>
        <xdr:cNvPr id="121057" name="Picture 132" descr="Gás-Caudais dos Restantes Aparelhos-SOMA">
          <a:extLst>
            <a:ext uri="{FF2B5EF4-FFF2-40B4-BE49-F238E27FC236}">
              <a16:creationId xmlns:a16="http://schemas.microsoft.com/office/drawing/2014/main" id="{00000000-0008-0000-0500-0000E1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5324475"/>
          <a:ext cx="1695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20</xdr:row>
      <xdr:rowOff>66675</xdr:rowOff>
    </xdr:from>
    <xdr:to>
      <xdr:col>12</xdr:col>
      <xdr:colOff>476250</xdr:colOff>
      <xdr:row>21</xdr:row>
      <xdr:rowOff>285750</xdr:rowOff>
    </xdr:to>
    <xdr:pic>
      <xdr:nvPicPr>
        <xdr:cNvPr id="121058" name="Picture 133" descr="Gás-Caudal do Aparelho">
          <a:extLst>
            <a:ext uri="{FF2B5EF4-FFF2-40B4-BE49-F238E27FC236}">
              <a16:creationId xmlns:a16="http://schemas.microsoft.com/office/drawing/2014/main" id="{00000000-0008-0000-0500-0000E2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4362450"/>
          <a:ext cx="31908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142875</xdr:colOff>
      <xdr:row>45</xdr:row>
      <xdr:rowOff>104775</xdr:rowOff>
    </xdr:from>
    <xdr:to>
      <xdr:col>12</xdr:col>
      <xdr:colOff>38100</xdr:colOff>
      <xdr:row>45</xdr:row>
      <xdr:rowOff>352425</xdr:rowOff>
    </xdr:to>
    <xdr:sp macro="" textlink="">
      <xdr:nvSpPr>
        <xdr:cNvPr id="21638" name="Text Box 134">
          <a:extLst>
            <a:ext uri="{FF2B5EF4-FFF2-40B4-BE49-F238E27FC236}">
              <a16:creationId xmlns:a16="http://schemas.microsoft.com/office/drawing/2014/main" id="{00000000-0008-0000-0500-000086540000}"/>
            </a:ext>
          </a:extLst>
        </xdr:cNvPr>
        <xdr:cNvSpPr txBox="1">
          <a:spLocks noChangeArrowheads="1"/>
        </xdr:cNvSpPr>
      </xdr:nvSpPr>
      <xdr:spPr bwMode="auto">
        <a:xfrm>
          <a:off x="9248775" y="13982700"/>
          <a:ext cx="7715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Opção APTA:</a:t>
          </a:r>
        </a:p>
      </xdr:txBody>
    </xdr:sp>
    <xdr:clientData/>
  </xdr:twoCellAnchor>
  <xdr:twoCellAnchor editAs="oneCell">
    <xdr:from>
      <xdr:col>12</xdr:col>
      <xdr:colOff>38100</xdr:colOff>
      <xdr:row>45</xdr:row>
      <xdr:rowOff>66675</xdr:rowOff>
    </xdr:from>
    <xdr:to>
      <xdr:col>13</xdr:col>
      <xdr:colOff>1123950</xdr:colOff>
      <xdr:row>45</xdr:row>
      <xdr:rowOff>323850</xdr:rowOff>
    </xdr:to>
    <xdr:pic>
      <xdr:nvPicPr>
        <xdr:cNvPr id="121060" name="Picture 135" descr="Gás-Fórmula da Pressão Final Corrigida-APTA">
          <a:extLst>
            <a:ext uri="{FF2B5EF4-FFF2-40B4-BE49-F238E27FC236}">
              <a16:creationId xmlns:a16="http://schemas.microsoft.com/office/drawing/2014/main" id="{00000000-0008-0000-0500-0000E4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0300" y="13944600"/>
          <a:ext cx="1590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457199</xdr:colOff>
      <xdr:row>1</xdr:row>
      <xdr:rowOff>0</xdr:rowOff>
    </xdr:from>
    <xdr:to>
      <xdr:col>13</xdr:col>
      <xdr:colOff>713013</xdr:colOff>
      <xdr:row>6</xdr:row>
      <xdr:rowOff>85725</xdr:rowOff>
    </xdr:to>
    <xdr:grpSp>
      <xdr:nvGrpSpPr>
        <xdr:cNvPr id="121061" name="Grupo 1">
          <a:extLst>
            <a:ext uri="{FF2B5EF4-FFF2-40B4-BE49-F238E27FC236}">
              <a16:creationId xmlns:a16="http://schemas.microsoft.com/office/drawing/2014/main" id="{00000000-0008-0000-0500-0000E5D80100}"/>
            </a:ext>
          </a:extLst>
        </xdr:cNvPr>
        <xdr:cNvGrpSpPr>
          <a:grpSpLocks/>
        </xdr:cNvGrpSpPr>
      </xdr:nvGrpSpPr>
      <xdr:grpSpPr bwMode="auto">
        <a:xfrm>
          <a:off x="8661069" y="64325"/>
          <a:ext cx="3175165" cy="1461283"/>
          <a:chOff x="8191500" y="66675"/>
          <a:chExt cx="3002463" cy="1476375"/>
        </a:xfrm>
      </xdr:grpSpPr>
      <xdr:sp macro="" textlink="">
        <xdr:nvSpPr>
          <xdr:cNvPr id="21584" name="Text Box 80">
            <a:extLst>
              <a:ext uri="{FF2B5EF4-FFF2-40B4-BE49-F238E27FC236}">
                <a16:creationId xmlns:a16="http://schemas.microsoft.com/office/drawing/2014/main" id="{00000000-0008-0000-0500-000050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10575" y="304800"/>
            <a:ext cx="2783388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Tubos de Aço </a:t>
            </a:r>
          </a:p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10255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e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ISO 10893-2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 Série Média</a:t>
            </a:r>
          </a:p>
        </xdr:txBody>
      </xdr:sp>
      <xdr:sp macro="" textlink="">
        <xdr:nvSpPr>
          <xdr:cNvPr id="21585" name="Text Box 81">
            <a:extLst>
              <a:ext uri="{FF2B5EF4-FFF2-40B4-BE49-F238E27FC236}">
                <a16:creationId xmlns:a16="http://schemas.microsoft.com/office/drawing/2014/main" id="{00000000-0008-0000-0500-000051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10575" y="695325"/>
            <a:ext cx="1609725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Acessórios Roscados</a:t>
            </a:r>
          </a:p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NP EN 10242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- Proj. A</a:t>
            </a:r>
          </a:p>
        </xdr:txBody>
      </xdr:sp>
      <xdr:sp macro="" textlink="">
        <xdr:nvSpPr>
          <xdr:cNvPr id="21586" name="Text Box 82">
            <a:extLst>
              <a:ext uri="{FF2B5EF4-FFF2-40B4-BE49-F238E27FC236}">
                <a16:creationId xmlns:a16="http://schemas.microsoft.com/office/drawing/2014/main" id="{00000000-0008-0000-0500-000052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191500" y="66675"/>
            <a:ext cx="2647950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pt-PT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Sustentadas no sistema de tubagem</a:t>
            </a:r>
          </a:p>
        </xdr:txBody>
      </xdr:sp>
      <xdr:sp macro="" textlink="">
        <xdr:nvSpPr>
          <xdr:cNvPr id="21588" name="Text Box 84">
            <a:extLst>
              <a:ext uri="{FF2B5EF4-FFF2-40B4-BE49-F238E27FC236}">
                <a16:creationId xmlns:a16="http://schemas.microsoft.com/office/drawing/2014/main" id="{00000000-0008-0000-0500-000054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10575" y="1104900"/>
            <a:ext cx="2124075" cy="190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Ligação Roscada NP EN 10226-1</a:t>
            </a:r>
          </a:p>
        </xdr:txBody>
      </xdr:sp>
      <xdr:sp macro="" textlink="">
        <xdr:nvSpPr>
          <xdr:cNvPr id="21589" name="Text Box 85">
            <a:extLst>
              <a:ext uri="{FF2B5EF4-FFF2-40B4-BE49-F238E27FC236}">
                <a16:creationId xmlns:a16="http://schemas.microsoft.com/office/drawing/2014/main" id="{00000000-0008-0000-0500-0000555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410575" y="1314450"/>
            <a:ext cx="2333625" cy="228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Materiais de Vedação EN 751-2</a:t>
            </a:r>
            <a:r>
              <a:rPr lang="pt-PT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ou </a:t>
            </a:r>
            <a:r>
              <a:rPr lang="pt-PT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</a:t>
            </a:r>
          </a:p>
        </xdr:txBody>
      </xdr:sp>
    </xdr:grpSp>
    <xdr:clientData/>
  </xdr:twoCellAnchor>
  <xdr:twoCellAnchor editAs="oneCell">
    <xdr:from>
      <xdr:col>11</xdr:col>
      <xdr:colOff>704850</xdr:colOff>
      <xdr:row>4</xdr:row>
      <xdr:rowOff>0</xdr:rowOff>
    </xdr:from>
    <xdr:to>
      <xdr:col>13</xdr:col>
      <xdr:colOff>704850</xdr:colOff>
      <xdr:row>4</xdr:row>
      <xdr:rowOff>393621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0" y="666750"/>
          <a:ext cx="1381125" cy="393621"/>
        </a:xfrm>
        <a:prstGeom prst="rect">
          <a:avLst/>
        </a:prstGeom>
      </xdr:spPr>
    </xdr:pic>
    <xdr:clientData/>
  </xdr:twoCellAnchor>
  <xdr:twoCellAnchor>
    <xdr:from>
      <xdr:col>0</xdr:col>
      <xdr:colOff>77561</xdr:colOff>
      <xdr:row>1</xdr:row>
      <xdr:rowOff>46265</xdr:rowOff>
    </xdr:from>
    <xdr:to>
      <xdr:col>5</xdr:col>
      <xdr:colOff>1412518</xdr:colOff>
      <xdr:row>4</xdr:row>
      <xdr:rowOff>70436</xdr:rowOff>
    </xdr:to>
    <xdr:sp macro="" textlink="">
      <xdr:nvSpPr>
        <xdr:cNvPr id="49" name="Retângulo: Cantos Arredondados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/>
      </xdr:nvSpPr>
      <xdr:spPr bwMode="auto">
        <a:xfrm>
          <a:off x="77561" y="111579"/>
          <a:ext cx="5760000" cy="612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6000">
              <a:schemeClr val="accent6">
                <a:lumMod val="75000"/>
              </a:schemeClr>
            </a:gs>
            <a:gs pos="46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0000" tIns="0" rIns="180000" bIns="0" rtlCol="0" anchor="ctr" upright="1"/>
        <a:lstStyle/>
        <a:p>
          <a:pPr algn="l"/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Procedimento de Dimensionamento de Instalações de Gás funcionando a Baixa Pressão - BP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14721</xdr:colOff>
      <xdr:row>4</xdr:row>
      <xdr:rowOff>278823</xdr:rowOff>
    </xdr:from>
    <xdr:to>
      <xdr:col>5</xdr:col>
      <xdr:colOff>1431321</xdr:colOff>
      <xdr:row>4</xdr:row>
      <xdr:rowOff>591539</xdr:rowOff>
    </xdr:to>
    <xdr:sp macro="" textlink="">
      <xdr:nvSpPr>
        <xdr:cNvPr id="50" name="Retângulo: Cantos Arredondados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/>
      </xdr:nvSpPr>
      <xdr:spPr bwMode="auto">
        <a:xfrm>
          <a:off x="96364" y="931966"/>
          <a:ext cx="5760000" cy="312716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1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0000" tIns="0" rIns="180000" bIns="0" rtlCol="0" anchor="ctr" upright="1"/>
        <a:lstStyle/>
        <a:p>
          <a:pPr algn="l"/>
          <a:r>
            <a:rPr lang="pt-PT" sz="12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Pressão de Abastecimento Nominal: 21 mbar ( valor adoptado: 20 mbar )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226325</xdr:colOff>
      <xdr:row>3</xdr:row>
      <xdr:rowOff>123765</xdr:rowOff>
    </xdr:from>
    <xdr:to>
      <xdr:col>9</xdr:col>
      <xdr:colOff>854528</xdr:colOff>
      <xdr:row>17</xdr:row>
      <xdr:rowOff>104775</xdr:rowOff>
    </xdr:to>
    <xdr:grpSp>
      <xdr:nvGrpSpPr>
        <xdr:cNvPr id="122166" name="Group 3">
          <a:extLst>
            <a:ext uri="{FF2B5EF4-FFF2-40B4-BE49-F238E27FC236}">
              <a16:creationId xmlns:a16="http://schemas.microsoft.com/office/drawing/2014/main" id="{00000000-0008-0000-0600-000036DD0100}"/>
            </a:ext>
          </a:extLst>
        </xdr:cNvPr>
        <xdr:cNvGrpSpPr>
          <a:grpSpLocks/>
        </xdr:cNvGrpSpPr>
      </xdr:nvGrpSpPr>
      <xdr:grpSpPr bwMode="auto">
        <a:xfrm>
          <a:off x="1166455" y="1024310"/>
          <a:ext cx="6551021" cy="2197738"/>
          <a:chOff x="1389" y="1558"/>
          <a:chExt cx="594" cy="236"/>
        </a:xfrm>
      </xdr:grpSpPr>
      <xdr:grpSp>
        <xdr:nvGrpSpPr>
          <xdr:cNvPr id="122167" name="Group 4">
            <a:extLst>
              <a:ext uri="{FF2B5EF4-FFF2-40B4-BE49-F238E27FC236}">
                <a16:creationId xmlns:a16="http://schemas.microsoft.com/office/drawing/2014/main" id="{00000000-0008-0000-0600-000037DD0100}"/>
              </a:ext>
            </a:extLst>
          </xdr:cNvPr>
          <xdr:cNvGrpSpPr>
            <a:grpSpLocks/>
          </xdr:cNvGrpSpPr>
        </xdr:nvGrpSpPr>
        <xdr:grpSpPr bwMode="auto">
          <a:xfrm>
            <a:off x="1432" y="1559"/>
            <a:ext cx="551" cy="235"/>
            <a:chOff x="1432" y="1559"/>
            <a:chExt cx="551" cy="235"/>
          </a:xfrm>
        </xdr:grpSpPr>
        <xdr:grpSp>
          <xdr:nvGrpSpPr>
            <xdr:cNvPr id="122170" name="Group 5">
              <a:extLst>
                <a:ext uri="{FF2B5EF4-FFF2-40B4-BE49-F238E27FC236}">
                  <a16:creationId xmlns:a16="http://schemas.microsoft.com/office/drawing/2014/main" id="{00000000-0008-0000-0600-00003A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512" y="1559"/>
              <a:ext cx="471" cy="56"/>
              <a:chOff x="1512" y="1559"/>
              <a:chExt cx="471" cy="56"/>
            </a:xfrm>
          </xdr:grpSpPr>
          <xdr:sp macro="" textlink="">
            <xdr:nvSpPr>
              <xdr:cNvPr id="24582" name="Text Box 6">
                <a:extLst>
                  <a:ext uri="{FF2B5EF4-FFF2-40B4-BE49-F238E27FC236}">
                    <a16:creationId xmlns:a16="http://schemas.microsoft.com/office/drawing/2014/main" id="{00000000-0008-0000-0600-000006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559"/>
                <a:ext cx="474" cy="27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1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Para:</a:t>
                </a:r>
              </a:p>
            </xdr:txBody>
          </xdr:sp>
          <xdr:grpSp>
            <xdr:nvGrpSpPr>
              <xdr:cNvPr id="122220" name="Group 7">
                <a:extLst>
                  <a:ext uri="{FF2B5EF4-FFF2-40B4-BE49-F238E27FC236}">
                    <a16:creationId xmlns:a16="http://schemas.microsoft.com/office/drawing/2014/main" id="{00000000-0008-0000-0600-00006CDD01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512" y="1589"/>
                <a:ext cx="471" cy="26"/>
                <a:chOff x="1463" y="1600"/>
                <a:chExt cx="471" cy="26"/>
              </a:xfrm>
            </xdr:grpSpPr>
            <xdr:sp macro="" textlink="">
              <xdr:nvSpPr>
                <xdr:cNvPr id="24584" name="Text Box 8">
                  <a:extLst>
                    <a:ext uri="{FF2B5EF4-FFF2-40B4-BE49-F238E27FC236}">
                      <a16:creationId xmlns:a16="http://schemas.microsoft.com/office/drawing/2014/main" id="{00000000-0008-0000-0600-000008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858" y="1600"/>
                  <a:ext cx="76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2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psi</a:t>
                  </a:r>
                </a:p>
              </xdr:txBody>
            </xdr:sp>
            <xdr:sp macro="" textlink="">
              <xdr:nvSpPr>
                <xdr:cNvPr id="24585" name="Text Box 9">
                  <a:extLst>
                    <a:ext uri="{FF2B5EF4-FFF2-40B4-BE49-F238E27FC236}">
                      <a16:creationId xmlns:a16="http://schemas.microsoft.com/office/drawing/2014/main" id="{00000000-0008-0000-0600-000009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776" y="1600"/>
                  <a:ext cx="82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2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atm</a:t>
                  </a:r>
                </a:p>
              </xdr:txBody>
            </xdr:sp>
            <xdr:sp macro="" textlink="">
              <xdr:nvSpPr>
                <xdr:cNvPr id="24586" name="Text Box 10">
                  <a:extLst>
                    <a:ext uri="{FF2B5EF4-FFF2-40B4-BE49-F238E27FC236}">
                      <a16:creationId xmlns:a16="http://schemas.microsoft.com/office/drawing/2014/main" id="{00000000-0008-0000-0600-00000A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700" y="1600"/>
                  <a:ext cx="76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2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m.c.a.</a:t>
                  </a:r>
                </a:p>
              </xdr:txBody>
            </xdr:sp>
            <xdr:sp macro="" textlink="">
              <xdr:nvSpPr>
                <xdr:cNvPr id="24587" name="Text Box 11">
                  <a:extLst>
                    <a:ext uri="{FF2B5EF4-FFF2-40B4-BE49-F238E27FC236}">
                      <a16:creationId xmlns:a16="http://schemas.microsoft.com/office/drawing/2014/main" id="{00000000-0008-0000-0600-00000B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621" y="1600"/>
                  <a:ext cx="76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1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kgf/cm</a:t>
                  </a:r>
                  <a:r>
                    <a:rPr lang="pt-PT" sz="1100" b="0" i="0" u="none" strike="noStrike" baseline="30000">
                      <a:solidFill>
                        <a:srgbClr val="FFFFFF"/>
                      </a:solidFill>
                      <a:latin typeface="Arial"/>
                      <a:cs typeface="Arial"/>
                    </a:rPr>
                    <a:t>2</a:t>
                  </a:r>
                </a:p>
              </xdr:txBody>
            </xdr:sp>
            <xdr:sp macro="" textlink="">
              <xdr:nvSpPr>
                <xdr:cNvPr id="24588" name="Text Box 12">
                  <a:extLst>
                    <a:ext uri="{FF2B5EF4-FFF2-40B4-BE49-F238E27FC236}">
                      <a16:creationId xmlns:a16="http://schemas.microsoft.com/office/drawing/2014/main" id="{00000000-0008-0000-0600-00000C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536" y="1600"/>
                  <a:ext cx="82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2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bar</a:t>
                  </a:r>
                </a:p>
              </xdr:txBody>
            </xdr:sp>
            <xdr:sp macro="" textlink="">
              <xdr:nvSpPr>
                <xdr:cNvPr id="24589" name="Text Box 13">
                  <a:extLst>
                    <a:ext uri="{FF2B5EF4-FFF2-40B4-BE49-F238E27FC236}">
                      <a16:creationId xmlns:a16="http://schemas.microsoft.com/office/drawing/2014/main" id="{00000000-0008-0000-0600-00000D60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460" y="1600"/>
                  <a:ext cx="76" cy="26"/>
                </a:xfrm>
                <a:prstGeom prst="rect">
                  <a:avLst/>
                </a:prstGeom>
                <a:solidFill>
                  <a:srgbClr val="FF6600"/>
                </a:solidFill>
                <a:ln w="9525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18000" tIns="18000" rIns="18000" bIns="18000" anchor="ctr" upright="1"/>
                <a:lstStyle/>
                <a:p>
                  <a:pPr algn="ctr" rtl="0">
                    <a:defRPr sz="1000"/>
                  </a:pPr>
                  <a:r>
                    <a:rPr lang="pt-PT" sz="1200" b="0" i="0" u="none" strike="noStrike" baseline="0">
                      <a:solidFill>
                        <a:srgbClr val="FFFFFF"/>
                      </a:solidFill>
                      <a:latin typeface="Arial"/>
                      <a:cs typeface="Arial"/>
                    </a:rPr>
                    <a:t>kPa</a:t>
                  </a:r>
                </a:p>
              </xdr:txBody>
            </xdr:sp>
          </xdr:grpSp>
        </xdr:grpSp>
        <xdr:grpSp>
          <xdr:nvGrpSpPr>
            <xdr:cNvPr id="122171" name="Group 14">
              <a:extLst>
                <a:ext uri="{FF2B5EF4-FFF2-40B4-BE49-F238E27FC236}">
                  <a16:creationId xmlns:a16="http://schemas.microsoft.com/office/drawing/2014/main" id="{00000000-0008-0000-0600-00003B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619"/>
              <a:ext cx="551" cy="26"/>
              <a:chOff x="1432" y="1619"/>
              <a:chExt cx="551" cy="26"/>
            </a:xfrm>
          </xdr:grpSpPr>
          <xdr:sp macro="" textlink="">
            <xdr:nvSpPr>
              <xdr:cNvPr id="24591" name="Text Box 15">
                <a:extLst>
                  <a:ext uri="{FF2B5EF4-FFF2-40B4-BE49-F238E27FC236}">
                    <a16:creationId xmlns:a16="http://schemas.microsoft.com/office/drawing/2014/main" id="{00000000-0008-0000-0600-00000F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0,145</a:t>
                </a:r>
              </a:p>
            </xdr:txBody>
          </xdr:sp>
          <xdr:sp macro="" textlink="">
            <xdr:nvSpPr>
              <xdr:cNvPr id="24592" name="Text Box 16">
                <a:extLst>
                  <a:ext uri="{FF2B5EF4-FFF2-40B4-BE49-F238E27FC236}">
                    <a16:creationId xmlns:a16="http://schemas.microsoft.com/office/drawing/2014/main" id="{00000000-0008-0000-0600-000010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0,0987</a:t>
                </a:r>
              </a:p>
            </xdr:txBody>
          </xdr:sp>
          <xdr:sp macro="" textlink="">
            <xdr:nvSpPr>
              <xdr:cNvPr id="24593" name="Text Box 17">
                <a:extLst>
                  <a:ext uri="{FF2B5EF4-FFF2-40B4-BE49-F238E27FC236}">
                    <a16:creationId xmlns:a16="http://schemas.microsoft.com/office/drawing/2014/main" id="{00000000-0008-0000-0600-000011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0,102</a:t>
                </a:r>
              </a:p>
            </xdr:txBody>
          </xdr:sp>
          <xdr:sp macro="" textlink="">
            <xdr:nvSpPr>
              <xdr:cNvPr id="24594" name="Text Box 18">
                <a:extLst>
                  <a:ext uri="{FF2B5EF4-FFF2-40B4-BE49-F238E27FC236}">
                    <a16:creationId xmlns:a16="http://schemas.microsoft.com/office/drawing/2014/main" id="{00000000-0008-0000-0600-000012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10,2x10</a:t>
                </a:r>
                <a:r>
                  <a:rPr lang="pt-PT" sz="11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595" name="Text Box 19">
                <a:extLst>
                  <a:ext uri="{FF2B5EF4-FFF2-40B4-BE49-F238E27FC236}">
                    <a16:creationId xmlns:a16="http://schemas.microsoft.com/office/drawing/2014/main" id="{00000000-0008-0000-0600-000013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10</a:t>
                </a:r>
                <a:r>
                  <a:rPr lang="pt-PT" sz="11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-2</a:t>
                </a:r>
              </a:p>
            </xdr:txBody>
          </xdr:sp>
          <xdr:sp macro="" textlink="">
            <xdr:nvSpPr>
              <xdr:cNvPr id="24596" name="Text Box 20">
                <a:extLst>
                  <a:ext uri="{FF2B5EF4-FFF2-40B4-BE49-F238E27FC236}">
                    <a16:creationId xmlns:a16="http://schemas.microsoft.com/office/drawing/2014/main" id="{00000000-0008-0000-0600-000014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61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597" name="Text Box 21">
                <a:extLst>
                  <a:ext uri="{FF2B5EF4-FFF2-40B4-BE49-F238E27FC236}">
                    <a16:creationId xmlns:a16="http://schemas.microsoft.com/office/drawing/2014/main" id="{00000000-0008-0000-0600-000015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619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kPa</a:t>
                </a:r>
              </a:p>
            </xdr:txBody>
          </xdr:sp>
        </xdr:grpSp>
        <xdr:grpSp>
          <xdr:nvGrpSpPr>
            <xdr:cNvPr id="122172" name="Group 22">
              <a:extLst>
                <a:ext uri="{FF2B5EF4-FFF2-40B4-BE49-F238E27FC236}">
                  <a16:creationId xmlns:a16="http://schemas.microsoft.com/office/drawing/2014/main" id="{00000000-0008-0000-0600-00003C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649"/>
              <a:ext cx="551" cy="26"/>
              <a:chOff x="1432" y="1649"/>
              <a:chExt cx="551" cy="26"/>
            </a:xfrm>
          </xdr:grpSpPr>
          <xdr:sp macro="" textlink="">
            <xdr:nvSpPr>
              <xdr:cNvPr id="24599" name="Text Box 23">
                <a:extLst>
                  <a:ext uri="{FF2B5EF4-FFF2-40B4-BE49-F238E27FC236}">
                    <a16:creationId xmlns:a16="http://schemas.microsoft.com/office/drawing/2014/main" id="{00000000-0008-0000-0600-000017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14,505</a:t>
                </a:r>
              </a:p>
            </xdr:txBody>
          </xdr:sp>
          <xdr:sp macro="" textlink="">
            <xdr:nvSpPr>
              <xdr:cNvPr id="24600" name="Text Box 24">
                <a:extLst>
                  <a:ext uri="{FF2B5EF4-FFF2-40B4-BE49-F238E27FC236}">
                    <a16:creationId xmlns:a16="http://schemas.microsoft.com/office/drawing/2014/main" id="{00000000-0008-0000-0600-000018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0,987</a:t>
                </a:r>
              </a:p>
            </xdr:txBody>
          </xdr:sp>
          <xdr:sp macro="" textlink="">
            <xdr:nvSpPr>
              <xdr:cNvPr id="24601" name="Text Box 25">
                <a:extLst>
                  <a:ext uri="{FF2B5EF4-FFF2-40B4-BE49-F238E27FC236}">
                    <a16:creationId xmlns:a16="http://schemas.microsoft.com/office/drawing/2014/main" id="{00000000-0008-0000-0600-000019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10,197</a:t>
                </a:r>
              </a:p>
            </xdr:txBody>
          </xdr:sp>
          <xdr:sp macro="" textlink="">
            <xdr:nvSpPr>
              <xdr:cNvPr id="24602" name="Text Box 26">
                <a:extLst>
                  <a:ext uri="{FF2B5EF4-FFF2-40B4-BE49-F238E27FC236}">
                    <a16:creationId xmlns:a16="http://schemas.microsoft.com/office/drawing/2014/main" id="{00000000-0008-0000-0600-00001A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1,0197</a:t>
                </a:r>
              </a:p>
            </xdr:txBody>
          </xdr:sp>
          <xdr:sp macro="" textlink="">
            <xdr:nvSpPr>
              <xdr:cNvPr id="24603" name="Text Box 27">
                <a:extLst>
                  <a:ext uri="{FF2B5EF4-FFF2-40B4-BE49-F238E27FC236}">
                    <a16:creationId xmlns:a16="http://schemas.microsoft.com/office/drawing/2014/main" id="{00000000-0008-0000-0600-00001B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604" name="Text Box 28">
                <a:extLst>
                  <a:ext uri="{FF2B5EF4-FFF2-40B4-BE49-F238E27FC236}">
                    <a16:creationId xmlns:a16="http://schemas.microsoft.com/office/drawing/2014/main" id="{00000000-0008-0000-0600-00001C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64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100</a:t>
                </a:r>
              </a:p>
            </xdr:txBody>
          </xdr:sp>
          <xdr:sp macro="" textlink="">
            <xdr:nvSpPr>
              <xdr:cNvPr id="24605" name="Text Box 29">
                <a:extLst>
                  <a:ext uri="{FF2B5EF4-FFF2-40B4-BE49-F238E27FC236}">
                    <a16:creationId xmlns:a16="http://schemas.microsoft.com/office/drawing/2014/main" id="{00000000-0008-0000-0600-00001D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649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bar</a:t>
                </a:r>
              </a:p>
            </xdr:txBody>
          </xdr:sp>
        </xdr:grpSp>
        <xdr:grpSp>
          <xdr:nvGrpSpPr>
            <xdr:cNvPr id="122173" name="Group 30">
              <a:extLst>
                <a:ext uri="{FF2B5EF4-FFF2-40B4-BE49-F238E27FC236}">
                  <a16:creationId xmlns:a16="http://schemas.microsoft.com/office/drawing/2014/main" id="{00000000-0008-0000-0600-00003D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679"/>
              <a:ext cx="551" cy="26"/>
              <a:chOff x="1432" y="1679"/>
              <a:chExt cx="551" cy="26"/>
            </a:xfrm>
          </xdr:grpSpPr>
          <xdr:sp macro="" textlink="">
            <xdr:nvSpPr>
              <xdr:cNvPr id="24607" name="Text Box 31">
                <a:extLst>
                  <a:ext uri="{FF2B5EF4-FFF2-40B4-BE49-F238E27FC236}">
                    <a16:creationId xmlns:a16="http://schemas.microsoft.com/office/drawing/2014/main" id="{00000000-0008-0000-0600-00001F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14,220</a:t>
                </a:r>
              </a:p>
            </xdr:txBody>
          </xdr:sp>
          <xdr:sp macro="" textlink="">
            <xdr:nvSpPr>
              <xdr:cNvPr id="24608" name="Text Box 32">
                <a:extLst>
                  <a:ext uri="{FF2B5EF4-FFF2-40B4-BE49-F238E27FC236}">
                    <a16:creationId xmlns:a16="http://schemas.microsoft.com/office/drawing/2014/main" id="{00000000-0008-0000-0600-000020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0,968</a:t>
                </a:r>
              </a:p>
            </xdr:txBody>
          </xdr:sp>
          <xdr:sp macro="" textlink="">
            <xdr:nvSpPr>
              <xdr:cNvPr id="24609" name="Text Box 33">
                <a:extLst>
                  <a:ext uri="{FF2B5EF4-FFF2-40B4-BE49-F238E27FC236}">
                    <a16:creationId xmlns:a16="http://schemas.microsoft.com/office/drawing/2014/main" id="{00000000-0008-0000-0600-000021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10</a:t>
                </a:r>
              </a:p>
            </xdr:txBody>
          </xdr:sp>
          <xdr:sp macro="" textlink="">
            <xdr:nvSpPr>
              <xdr:cNvPr id="24610" name="Text Box 34">
                <a:extLst>
                  <a:ext uri="{FF2B5EF4-FFF2-40B4-BE49-F238E27FC236}">
                    <a16:creationId xmlns:a16="http://schemas.microsoft.com/office/drawing/2014/main" id="{00000000-0008-0000-0600-000022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611" name="Text Box 35">
                <a:extLst>
                  <a:ext uri="{FF2B5EF4-FFF2-40B4-BE49-F238E27FC236}">
                    <a16:creationId xmlns:a16="http://schemas.microsoft.com/office/drawing/2014/main" id="{00000000-0008-0000-0600-000023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0,9807</a:t>
                </a:r>
              </a:p>
            </xdr:txBody>
          </xdr:sp>
          <xdr:sp macro="" textlink="">
            <xdr:nvSpPr>
              <xdr:cNvPr id="24612" name="Text Box 36">
                <a:extLst>
                  <a:ext uri="{FF2B5EF4-FFF2-40B4-BE49-F238E27FC236}">
                    <a16:creationId xmlns:a16="http://schemas.microsoft.com/office/drawing/2014/main" id="{00000000-0008-0000-0600-000024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67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98,07</a:t>
                </a:r>
              </a:p>
            </xdr:txBody>
          </xdr:sp>
          <xdr:sp macro="" textlink="">
            <xdr:nvSpPr>
              <xdr:cNvPr id="24613" name="Text Box 37">
                <a:extLst>
                  <a:ext uri="{FF2B5EF4-FFF2-40B4-BE49-F238E27FC236}">
                    <a16:creationId xmlns:a16="http://schemas.microsoft.com/office/drawing/2014/main" id="{00000000-0008-0000-0600-000025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679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1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kgf/cm</a:t>
                </a:r>
                <a:r>
                  <a:rPr lang="pt-PT" sz="1100" b="0" i="0" u="none" strike="noStrike" baseline="30000">
                    <a:solidFill>
                      <a:srgbClr val="FFFFFF"/>
                    </a:solidFill>
                    <a:latin typeface="Arial"/>
                    <a:cs typeface="Arial"/>
                  </a:rPr>
                  <a:t>2</a:t>
                </a:r>
              </a:p>
            </xdr:txBody>
          </xdr:sp>
        </xdr:grpSp>
        <xdr:grpSp>
          <xdr:nvGrpSpPr>
            <xdr:cNvPr id="122174" name="Group 38">
              <a:extLst>
                <a:ext uri="{FF2B5EF4-FFF2-40B4-BE49-F238E27FC236}">
                  <a16:creationId xmlns:a16="http://schemas.microsoft.com/office/drawing/2014/main" id="{00000000-0008-0000-0600-00003E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709"/>
              <a:ext cx="551" cy="26"/>
              <a:chOff x="1432" y="1709"/>
              <a:chExt cx="551" cy="26"/>
            </a:xfrm>
          </xdr:grpSpPr>
          <xdr:sp macro="" textlink="">
            <xdr:nvSpPr>
              <xdr:cNvPr id="24615" name="Text Box 39">
                <a:extLst>
                  <a:ext uri="{FF2B5EF4-FFF2-40B4-BE49-F238E27FC236}">
                    <a16:creationId xmlns:a16="http://schemas.microsoft.com/office/drawing/2014/main" id="{00000000-0008-0000-0600-000027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1,4225</a:t>
                </a:r>
              </a:p>
            </xdr:txBody>
          </xdr:sp>
          <xdr:sp macro="" textlink="">
            <xdr:nvSpPr>
              <xdr:cNvPr id="24616" name="Text Box 40">
                <a:extLst>
                  <a:ext uri="{FF2B5EF4-FFF2-40B4-BE49-F238E27FC236}">
                    <a16:creationId xmlns:a16="http://schemas.microsoft.com/office/drawing/2014/main" id="{00000000-0008-0000-0600-000028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96,78x10</a:t>
                </a:r>
                <a:r>
                  <a:rPr lang="pt-PT" sz="1100" b="0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617" name="Text Box 41">
                <a:extLst>
                  <a:ext uri="{FF2B5EF4-FFF2-40B4-BE49-F238E27FC236}">
                    <a16:creationId xmlns:a16="http://schemas.microsoft.com/office/drawing/2014/main" id="{00000000-0008-0000-0600-000029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618" name="Text Box 42">
                <a:extLst>
                  <a:ext uri="{FF2B5EF4-FFF2-40B4-BE49-F238E27FC236}">
                    <a16:creationId xmlns:a16="http://schemas.microsoft.com/office/drawing/2014/main" id="{00000000-0008-0000-0600-00002A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0,1</a:t>
                </a:r>
              </a:p>
            </xdr:txBody>
          </xdr:sp>
          <xdr:sp macro="" textlink="">
            <xdr:nvSpPr>
              <xdr:cNvPr id="24619" name="Text Box 43">
                <a:extLst>
                  <a:ext uri="{FF2B5EF4-FFF2-40B4-BE49-F238E27FC236}">
                    <a16:creationId xmlns:a16="http://schemas.microsoft.com/office/drawing/2014/main" id="{00000000-0008-0000-0600-00002B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98,07x10</a:t>
                </a:r>
                <a:r>
                  <a:rPr lang="pt-PT" sz="11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620" name="Text Box 44">
                <a:extLst>
                  <a:ext uri="{FF2B5EF4-FFF2-40B4-BE49-F238E27FC236}">
                    <a16:creationId xmlns:a16="http://schemas.microsoft.com/office/drawing/2014/main" id="{00000000-0008-0000-0600-00002C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70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9,807</a:t>
                </a:r>
              </a:p>
            </xdr:txBody>
          </xdr:sp>
          <xdr:sp macro="" textlink="">
            <xdr:nvSpPr>
              <xdr:cNvPr id="24621" name="Text Box 45">
                <a:extLst>
                  <a:ext uri="{FF2B5EF4-FFF2-40B4-BE49-F238E27FC236}">
                    <a16:creationId xmlns:a16="http://schemas.microsoft.com/office/drawing/2014/main" id="{00000000-0008-0000-0600-00002D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709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m.c.a.</a:t>
                </a:r>
              </a:p>
            </xdr:txBody>
          </xdr:sp>
        </xdr:grpSp>
        <xdr:grpSp>
          <xdr:nvGrpSpPr>
            <xdr:cNvPr id="122175" name="Group 46">
              <a:extLst>
                <a:ext uri="{FF2B5EF4-FFF2-40B4-BE49-F238E27FC236}">
                  <a16:creationId xmlns:a16="http://schemas.microsoft.com/office/drawing/2014/main" id="{00000000-0008-0000-0600-00003F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739"/>
              <a:ext cx="551" cy="26"/>
              <a:chOff x="1432" y="1739"/>
              <a:chExt cx="551" cy="26"/>
            </a:xfrm>
          </xdr:grpSpPr>
          <xdr:sp macro="" textlink="">
            <xdr:nvSpPr>
              <xdr:cNvPr id="24623" name="Text Box 47">
                <a:extLst>
                  <a:ext uri="{FF2B5EF4-FFF2-40B4-BE49-F238E27FC236}">
                    <a16:creationId xmlns:a16="http://schemas.microsoft.com/office/drawing/2014/main" id="{00000000-0008-0000-0600-00002F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14,652</a:t>
                </a:r>
              </a:p>
            </xdr:txBody>
          </xdr:sp>
          <xdr:sp macro="" textlink="">
            <xdr:nvSpPr>
              <xdr:cNvPr id="24624" name="Text Box 48">
                <a:extLst>
                  <a:ext uri="{FF2B5EF4-FFF2-40B4-BE49-F238E27FC236}">
                    <a16:creationId xmlns:a16="http://schemas.microsoft.com/office/drawing/2014/main" id="{00000000-0008-0000-0600-000030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625" name="Text Box 49">
                <a:extLst>
                  <a:ext uri="{FF2B5EF4-FFF2-40B4-BE49-F238E27FC236}">
                    <a16:creationId xmlns:a16="http://schemas.microsoft.com/office/drawing/2014/main" id="{00000000-0008-0000-0600-000031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10,33</a:t>
                </a:r>
              </a:p>
            </xdr:txBody>
          </xdr:sp>
          <xdr:sp macro="" textlink="">
            <xdr:nvSpPr>
              <xdr:cNvPr id="24626" name="Text Box 50">
                <a:extLst>
                  <a:ext uri="{FF2B5EF4-FFF2-40B4-BE49-F238E27FC236}">
                    <a16:creationId xmlns:a16="http://schemas.microsoft.com/office/drawing/2014/main" id="{00000000-0008-0000-0600-000032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1,033</a:t>
                </a:r>
              </a:p>
            </xdr:txBody>
          </xdr:sp>
          <xdr:sp macro="" textlink="">
            <xdr:nvSpPr>
              <xdr:cNvPr id="24627" name="Text Box 51">
                <a:extLst>
                  <a:ext uri="{FF2B5EF4-FFF2-40B4-BE49-F238E27FC236}">
                    <a16:creationId xmlns:a16="http://schemas.microsoft.com/office/drawing/2014/main" id="{00000000-0008-0000-0600-000033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1,01325</a:t>
                </a:r>
              </a:p>
            </xdr:txBody>
          </xdr:sp>
          <xdr:sp macro="" textlink="">
            <xdr:nvSpPr>
              <xdr:cNvPr id="24628" name="Text Box 52">
                <a:extLst>
                  <a:ext uri="{FF2B5EF4-FFF2-40B4-BE49-F238E27FC236}">
                    <a16:creationId xmlns:a16="http://schemas.microsoft.com/office/drawing/2014/main" id="{00000000-0008-0000-0600-000034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739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101,325</a:t>
                </a:r>
              </a:p>
            </xdr:txBody>
          </xdr:sp>
          <xdr:sp macro="" textlink="">
            <xdr:nvSpPr>
              <xdr:cNvPr id="24629" name="Text Box 53">
                <a:extLst>
                  <a:ext uri="{FF2B5EF4-FFF2-40B4-BE49-F238E27FC236}">
                    <a16:creationId xmlns:a16="http://schemas.microsoft.com/office/drawing/2014/main" id="{00000000-0008-0000-0600-000035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739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atm</a:t>
                </a:r>
              </a:p>
            </xdr:txBody>
          </xdr:sp>
        </xdr:grpSp>
        <xdr:grpSp>
          <xdr:nvGrpSpPr>
            <xdr:cNvPr id="122176" name="Group 54">
              <a:extLst>
                <a:ext uri="{FF2B5EF4-FFF2-40B4-BE49-F238E27FC236}">
                  <a16:creationId xmlns:a16="http://schemas.microsoft.com/office/drawing/2014/main" id="{00000000-0008-0000-0600-000040DD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32" y="1768"/>
              <a:ext cx="551" cy="26"/>
              <a:chOff x="1432" y="1768"/>
              <a:chExt cx="551" cy="26"/>
            </a:xfrm>
          </xdr:grpSpPr>
          <xdr:sp macro="" textlink="">
            <xdr:nvSpPr>
              <xdr:cNvPr id="24631" name="Text Box 55">
                <a:extLst>
                  <a:ext uri="{FF2B5EF4-FFF2-40B4-BE49-F238E27FC236}">
                    <a16:creationId xmlns:a16="http://schemas.microsoft.com/office/drawing/2014/main" id="{00000000-0008-0000-0600-000037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907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-</a:t>
                </a:r>
              </a:p>
            </xdr:txBody>
          </xdr:sp>
          <xdr:sp macro="" textlink="">
            <xdr:nvSpPr>
              <xdr:cNvPr id="24632" name="Text Box 56">
                <a:extLst>
                  <a:ext uri="{FF2B5EF4-FFF2-40B4-BE49-F238E27FC236}">
                    <a16:creationId xmlns:a16="http://schemas.microsoft.com/office/drawing/2014/main" id="{00000000-0008-0000-0600-000038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828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68,94x10</a:t>
                </a:r>
                <a:r>
                  <a:rPr lang="pt-PT" sz="1100" b="0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633" name="Text Box 57">
                <a:extLst>
                  <a:ext uri="{FF2B5EF4-FFF2-40B4-BE49-F238E27FC236}">
                    <a16:creationId xmlns:a16="http://schemas.microsoft.com/office/drawing/2014/main" id="{00000000-0008-0000-0600-000039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749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0,703</a:t>
                </a:r>
              </a:p>
            </xdr:txBody>
          </xdr:sp>
          <xdr:sp macro="" textlink="">
            <xdr:nvSpPr>
              <xdr:cNvPr id="24634" name="Text Box 58">
                <a:extLst>
                  <a:ext uri="{FF2B5EF4-FFF2-40B4-BE49-F238E27FC236}">
                    <a16:creationId xmlns:a16="http://schemas.microsoft.com/office/drawing/2014/main" id="{00000000-0008-0000-0600-00003A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70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 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70,3x10</a:t>
                </a:r>
                <a:r>
                  <a:rPr lang="pt-PT" sz="11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635" name="Text Box 59">
                <a:extLst>
                  <a:ext uri="{FF2B5EF4-FFF2-40B4-BE49-F238E27FC236}">
                    <a16:creationId xmlns:a16="http://schemas.microsoft.com/office/drawing/2014/main" id="{00000000-0008-0000-0600-00003B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91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68,05x10</a:t>
                </a:r>
                <a:r>
                  <a:rPr lang="pt-PT" sz="11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-3</a:t>
                </a:r>
              </a:p>
            </xdr:txBody>
          </xdr:sp>
          <xdr:sp macro="" textlink="">
            <xdr:nvSpPr>
              <xdr:cNvPr id="24636" name="Text Box 60">
                <a:extLst>
                  <a:ext uri="{FF2B5EF4-FFF2-40B4-BE49-F238E27FC236}">
                    <a16:creationId xmlns:a16="http://schemas.microsoft.com/office/drawing/2014/main" id="{00000000-0008-0000-0600-00003C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509" y="1768"/>
                <a:ext cx="76" cy="26"/>
              </a:xfrm>
              <a:prstGeom prst="rect">
                <a:avLst/>
              </a:prstGeom>
              <a:solidFill>
                <a:schemeClr val="bg2">
                  <a:lumMod val="90000"/>
                </a:schemeClr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x</a:t>
                </a:r>
                <a:r>
                  <a:rPr lang="pt-PT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6,895</a:t>
                </a:r>
              </a:p>
            </xdr:txBody>
          </xdr:sp>
          <xdr:sp macro="" textlink="">
            <xdr:nvSpPr>
              <xdr:cNvPr id="24637" name="Text Box 61">
                <a:extLst>
                  <a:ext uri="{FF2B5EF4-FFF2-40B4-BE49-F238E27FC236}">
                    <a16:creationId xmlns:a16="http://schemas.microsoft.com/office/drawing/2014/main" id="{00000000-0008-0000-0600-00003D6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432" y="1768"/>
                <a:ext cx="76" cy="26"/>
              </a:xfrm>
              <a:prstGeom prst="rect">
                <a:avLst/>
              </a:prstGeom>
              <a:solidFill>
                <a:srgbClr val="FF6600"/>
              </a:solidFill>
              <a:ln w="9525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18000" tIns="18000" rIns="18000" bIns="18000" anchor="ctr" upright="1"/>
              <a:lstStyle/>
              <a:p>
                <a:pPr algn="ctr" rtl="0">
                  <a:defRPr sz="1000"/>
                </a:pPr>
                <a:r>
                  <a:rPr lang="pt-PT" sz="1200" b="0" i="0" u="none" strike="noStrike" baseline="0">
                    <a:solidFill>
                      <a:srgbClr val="FFFFFF"/>
                    </a:solidFill>
                    <a:latin typeface="Arial"/>
                    <a:cs typeface="Arial"/>
                  </a:rPr>
                  <a:t>psi</a:t>
                </a:r>
              </a:p>
            </xdr:txBody>
          </xdr:sp>
        </xdr:grpSp>
      </xdr:grpSp>
      <xdr:sp macro="" textlink="">
        <xdr:nvSpPr>
          <xdr:cNvPr id="24638" name="Text Box 62">
            <a:extLst>
              <a:ext uri="{FF2B5EF4-FFF2-40B4-BE49-F238E27FC236}">
                <a16:creationId xmlns:a16="http://schemas.microsoft.com/office/drawing/2014/main" id="{00000000-0008-0000-0600-00003E6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89" y="1619"/>
            <a:ext cx="40" cy="175"/>
          </a:xfrm>
          <a:prstGeom prst="rect">
            <a:avLst/>
          </a:prstGeom>
          <a:solidFill>
            <a:srgbClr val="FF6600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18000" tIns="18000" rIns="18000" bIns="18000" anchor="ctr" upright="1"/>
          <a:lstStyle/>
          <a:p>
            <a:pPr algn="ctr" rtl="0">
              <a:defRPr sz="1000"/>
            </a:pPr>
            <a:r>
              <a:rPr lang="pt-PT" sz="12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De:</a:t>
            </a:r>
          </a:p>
        </xdr:txBody>
      </xdr:sp>
      <xdr:sp macro="" textlink="">
        <xdr:nvSpPr>
          <xdr:cNvPr id="122169" name="AutoShape 63">
            <a:extLst>
              <a:ext uri="{FF2B5EF4-FFF2-40B4-BE49-F238E27FC236}">
                <a16:creationId xmlns:a16="http://schemas.microsoft.com/office/drawing/2014/main" id="{00000000-0008-0000-0600-000039DD0100}"/>
              </a:ext>
            </a:extLst>
          </xdr:cNvPr>
          <xdr:cNvSpPr>
            <a:spLocks noChangeArrowheads="1"/>
          </xdr:cNvSpPr>
        </xdr:nvSpPr>
        <xdr:spPr bwMode="auto">
          <a:xfrm rot="5400000" flipH="1">
            <a:off x="1399" y="1569"/>
            <a:ext cx="70" cy="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w 21600"/>
              <a:gd name="T9" fmla="*/ 0 h 21600"/>
              <a:gd name="T10" fmla="*/ 0 w 21600"/>
              <a:gd name="T11" fmla="*/ 0 h 21600"/>
              <a:gd name="T12" fmla="*/ 17694720 60000 65536"/>
              <a:gd name="T13" fmla="*/ 11796480 60000 65536"/>
              <a:gd name="T14" fmla="*/ 11796480 60000 65536"/>
              <a:gd name="T15" fmla="*/ 5898240 60000 65536"/>
              <a:gd name="T16" fmla="*/ 0 60000 65536"/>
              <a:gd name="T17" fmla="*/ 0 60000 65536"/>
              <a:gd name="T18" fmla="*/ 10491 w 21600"/>
              <a:gd name="T19" fmla="*/ 3150 h 21600"/>
              <a:gd name="T20" fmla="*/ 17589 w 21600"/>
              <a:gd name="T21" fmla="*/ 21600 h 21600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21600" h="21600">
                <a:moveTo>
                  <a:pt x="14097" y="0"/>
                </a:moveTo>
                <a:lnTo>
                  <a:pt x="6593" y="6593"/>
                </a:lnTo>
                <a:lnTo>
                  <a:pt x="10605" y="6593"/>
                </a:lnTo>
                <a:lnTo>
                  <a:pt x="10605" y="13024"/>
                </a:lnTo>
                <a:lnTo>
                  <a:pt x="0" y="13024"/>
                </a:lnTo>
                <a:lnTo>
                  <a:pt x="0" y="21600"/>
                </a:lnTo>
                <a:lnTo>
                  <a:pt x="17588" y="21600"/>
                </a:lnTo>
                <a:lnTo>
                  <a:pt x="17588" y="6593"/>
                </a:lnTo>
                <a:lnTo>
                  <a:pt x="21600" y="6593"/>
                </a:lnTo>
                <a:lnTo>
                  <a:pt x="14097" y="0"/>
                </a:lnTo>
                <a:close/>
              </a:path>
            </a:pathLst>
          </a:custGeom>
          <a:solidFill>
            <a:srgbClr val="FF6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0</xdr:col>
      <xdr:colOff>428625</xdr:colOff>
      <xdr:row>21</xdr:row>
      <xdr:rowOff>113126</xdr:rowOff>
    </xdr:from>
    <xdr:to>
      <xdr:col>1</xdr:col>
      <xdr:colOff>523331</xdr:colOff>
      <xdr:row>28</xdr:row>
      <xdr:rowOff>266699</xdr:rowOff>
    </xdr:to>
    <xdr:grpSp>
      <xdr:nvGrpSpPr>
        <xdr:cNvPr id="122161" name="Group 66">
          <a:extLst>
            <a:ext uri="{FF2B5EF4-FFF2-40B4-BE49-F238E27FC236}">
              <a16:creationId xmlns:a16="http://schemas.microsoft.com/office/drawing/2014/main" id="{00000000-0008-0000-0600-000031DD0100}"/>
            </a:ext>
          </a:extLst>
        </xdr:cNvPr>
        <xdr:cNvGrpSpPr>
          <a:grpSpLocks/>
        </xdr:cNvGrpSpPr>
      </xdr:nvGrpSpPr>
      <xdr:grpSpPr bwMode="auto">
        <a:xfrm>
          <a:off x="428625" y="3863750"/>
          <a:ext cx="1034836" cy="1910131"/>
          <a:chOff x="45" y="368"/>
          <a:chExt cx="102" cy="200"/>
        </a:xfrm>
      </xdr:grpSpPr>
      <xdr:sp macro="" textlink="">
        <xdr:nvSpPr>
          <xdr:cNvPr id="24643" name="Text Box 67">
            <a:extLst>
              <a:ext uri="{FF2B5EF4-FFF2-40B4-BE49-F238E27FC236}">
                <a16:creationId xmlns:a16="http://schemas.microsoft.com/office/drawing/2014/main" id="{00000000-0008-0000-0600-0000436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" y="368"/>
            <a:ext cx="44" cy="200"/>
          </a:xfrm>
          <a:prstGeom prst="rect">
            <a:avLst/>
          </a:prstGeom>
          <a:solidFill>
            <a:srgbClr val="FF6600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vert="vert270" wrap="square" lIns="18000" tIns="18000" rIns="18000" bIns="18000" anchor="ctr" upright="1"/>
          <a:lstStyle/>
          <a:p>
            <a:pPr algn="ctr" rtl="0">
              <a:defRPr sz="1000"/>
            </a:pPr>
            <a:r>
              <a:rPr lang="pt-PT" sz="1200" b="1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Introdução do valor de pressão a converter</a:t>
            </a:r>
          </a:p>
        </xdr:txBody>
      </xdr:sp>
      <xdr:sp macro="" textlink="">
        <xdr:nvSpPr>
          <xdr:cNvPr id="122163" name="AutoShape 68">
            <a:extLst>
              <a:ext uri="{FF2B5EF4-FFF2-40B4-BE49-F238E27FC236}">
                <a16:creationId xmlns:a16="http://schemas.microsoft.com/office/drawing/2014/main" id="{00000000-0008-0000-0600-000033DD0100}"/>
              </a:ext>
            </a:extLst>
          </xdr:cNvPr>
          <xdr:cNvSpPr>
            <a:spLocks noChangeArrowheads="1"/>
          </xdr:cNvSpPr>
        </xdr:nvSpPr>
        <xdr:spPr bwMode="auto">
          <a:xfrm flipV="1">
            <a:off x="104" y="368"/>
            <a:ext cx="43" cy="31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w 21600"/>
              <a:gd name="T9" fmla="*/ 0 h 21600"/>
              <a:gd name="T10" fmla="*/ 0 w 21600"/>
              <a:gd name="T11" fmla="*/ 0 h 21600"/>
              <a:gd name="T12" fmla="*/ 17694720 60000 65536"/>
              <a:gd name="T13" fmla="*/ 11796480 60000 65536"/>
              <a:gd name="T14" fmla="*/ 11796480 60000 65536"/>
              <a:gd name="T15" fmla="*/ 5898240 60000 65536"/>
              <a:gd name="T16" fmla="*/ 0 60000 65536"/>
              <a:gd name="T17" fmla="*/ 0 60000 65536"/>
              <a:gd name="T18" fmla="*/ 12558 w 21600"/>
              <a:gd name="T19" fmla="*/ 3484 h 21600"/>
              <a:gd name="T20" fmla="*/ 18586 w 21600"/>
              <a:gd name="T21" fmla="*/ 21600 h 21600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21600" h="21600">
                <a:moveTo>
                  <a:pt x="15429" y="0"/>
                </a:moveTo>
                <a:lnTo>
                  <a:pt x="9257" y="7200"/>
                </a:lnTo>
                <a:lnTo>
                  <a:pt x="12343" y="7200"/>
                </a:lnTo>
                <a:lnTo>
                  <a:pt x="12343" y="14400"/>
                </a:lnTo>
                <a:lnTo>
                  <a:pt x="0" y="14400"/>
                </a:lnTo>
                <a:lnTo>
                  <a:pt x="0" y="21600"/>
                </a:lnTo>
                <a:lnTo>
                  <a:pt x="18514" y="21600"/>
                </a:lnTo>
                <a:lnTo>
                  <a:pt x="18514" y="7200"/>
                </a:lnTo>
                <a:lnTo>
                  <a:pt x="21600" y="7200"/>
                </a:lnTo>
                <a:lnTo>
                  <a:pt x="15429" y="0"/>
                </a:lnTo>
                <a:close/>
              </a:path>
            </a:pathLst>
          </a:custGeom>
          <a:solidFill>
            <a:srgbClr val="FF6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2164" name="Rectangle 69">
            <a:extLst>
              <a:ext uri="{FF2B5EF4-FFF2-40B4-BE49-F238E27FC236}">
                <a16:creationId xmlns:a16="http://schemas.microsoft.com/office/drawing/2014/main" id="{00000000-0008-0000-0600-000034DD0100}"/>
              </a:ext>
            </a:extLst>
          </xdr:cNvPr>
          <xdr:cNvSpPr>
            <a:spLocks noChangeArrowheads="1"/>
          </xdr:cNvSpPr>
        </xdr:nvSpPr>
        <xdr:spPr bwMode="auto">
          <a:xfrm>
            <a:off x="78" y="368"/>
            <a:ext cx="32" cy="10"/>
          </a:xfrm>
          <a:prstGeom prst="rect">
            <a:avLst/>
          </a:prstGeom>
          <a:solidFill>
            <a:srgbClr val="FF6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absolute">
    <xdr:from>
      <xdr:col>8</xdr:col>
      <xdr:colOff>77560</xdr:colOff>
      <xdr:row>30</xdr:row>
      <xdr:rowOff>25857</xdr:rowOff>
    </xdr:from>
    <xdr:to>
      <xdr:col>9</xdr:col>
      <xdr:colOff>815067</xdr:colOff>
      <xdr:row>34</xdr:row>
      <xdr:rowOff>121107</xdr:rowOff>
    </xdr:to>
    <xdr:grpSp>
      <xdr:nvGrpSpPr>
        <xdr:cNvPr id="122155" name="Group 75">
          <a:extLst>
            <a:ext uri="{FF2B5EF4-FFF2-40B4-BE49-F238E27FC236}">
              <a16:creationId xmlns:a16="http://schemas.microsoft.com/office/drawing/2014/main" id="{00000000-0008-0000-0600-00002BDD0100}"/>
            </a:ext>
          </a:extLst>
        </xdr:cNvPr>
        <xdr:cNvGrpSpPr>
          <a:grpSpLocks/>
        </xdr:cNvGrpSpPr>
      </xdr:nvGrpSpPr>
      <xdr:grpSpPr bwMode="auto">
        <a:xfrm>
          <a:off x="6069651" y="5963520"/>
          <a:ext cx="1608364" cy="728600"/>
          <a:chOff x="1047" y="1851"/>
          <a:chExt cx="162" cy="78"/>
        </a:xfrm>
      </xdr:grpSpPr>
      <xdr:pic>
        <xdr:nvPicPr>
          <xdr:cNvPr id="122156" name="Picture 76" descr="Resize of logoapta">
            <a:extLst>
              <a:ext uri="{FF2B5EF4-FFF2-40B4-BE49-F238E27FC236}">
                <a16:creationId xmlns:a16="http://schemas.microsoft.com/office/drawing/2014/main" id="{00000000-0008-0000-0600-00002CDD01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lum contrast="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2" y="1851"/>
            <a:ext cx="90" cy="5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4653" name="Text Box 77">
            <a:extLst>
              <a:ext uri="{FF2B5EF4-FFF2-40B4-BE49-F238E27FC236}">
                <a16:creationId xmlns:a16="http://schemas.microsoft.com/office/drawing/2014/main" id="{00000000-0008-0000-0600-00004D6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3" y="1910"/>
            <a:ext cx="136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Autor:</a:t>
            </a:r>
            <a:r>
              <a:rPr lang="pt-PT" sz="8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Paulo Gomes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,</a:t>
            </a:r>
            <a:r>
              <a:rPr lang="pt-PT" sz="7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 </a:t>
            </a:r>
            <a:r>
              <a:rPr lang="pt-PT" sz="7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Engº</a:t>
            </a:r>
          </a:p>
        </xdr:txBody>
      </xdr:sp>
      <xdr:sp macro="" textlink="">
        <xdr:nvSpPr>
          <xdr:cNvPr id="24654" name="Text Box 7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600-00004E6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7" y="1882"/>
            <a:ext cx="71" cy="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info@apta.pt</a:t>
            </a:r>
          </a:p>
          <a:p>
            <a:pPr algn="ctr" rtl="0">
              <a:defRPr sz="1000"/>
            </a:pPr>
            <a:r>
              <a:rPr lang="pt-PT" sz="8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www.apta.pt</a:t>
            </a:r>
          </a:p>
        </xdr:txBody>
      </xdr:sp>
      <xdr:sp macro="" textlink="">
        <xdr:nvSpPr>
          <xdr:cNvPr id="24655" name="Text Box 79">
            <a:extLst>
              <a:ext uri="{FF2B5EF4-FFF2-40B4-BE49-F238E27FC236}">
                <a16:creationId xmlns:a16="http://schemas.microsoft.com/office/drawing/2014/main" id="{00000000-0008-0000-0600-00004F6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1" y="1907"/>
            <a:ext cx="25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pt-PT" sz="1200" b="0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®</a:t>
            </a:r>
          </a:p>
        </xdr:txBody>
      </xdr:sp>
    </xdr:grpSp>
    <xdr:clientData/>
  </xdr:twoCellAnchor>
  <xdr:twoCellAnchor>
    <xdr:from>
      <xdr:col>0</xdr:col>
      <xdr:colOff>424544</xdr:colOff>
      <xdr:row>0</xdr:row>
      <xdr:rowOff>190499</xdr:rowOff>
    </xdr:from>
    <xdr:to>
      <xdr:col>5</xdr:col>
      <xdr:colOff>419102</xdr:colOff>
      <xdr:row>0</xdr:row>
      <xdr:rowOff>451756</xdr:rowOff>
    </xdr:to>
    <xdr:sp macro="" textlink="">
      <xdr:nvSpPr>
        <xdr:cNvPr id="76" name="Retângulo: Cantos Arredondados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/>
      </xdr:nvSpPr>
      <xdr:spPr bwMode="auto">
        <a:xfrm>
          <a:off x="424544" y="190499"/>
          <a:ext cx="3374572" cy="261257"/>
        </a:xfrm>
        <a:prstGeom prst="roundRect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46000">
              <a:schemeClr val="accent6">
                <a:lumMod val="75000"/>
              </a:schemeClr>
            </a:gs>
            <a:gs pos="97000">
              <a:schemeClr val="accent6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Conversão de Pressões</a:t>
          </a:r>
          <a:endParaRPr lang="pt-PT" sz="12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424544</xdr:colOff>
      <xdr:row>1</xdr:row>
      <xdr:rowOff>103412</xdr:rowOff>
    </xdr:from>
    <xdr:to>
      <xdr:col>9</xdr:col>
      <xdr:colOff>854530</xdr:colOff>
      <xdr:row>3</xdr:row>
      <xdr:rowOff>59870</xdr:rowOff>
    </xdr:to>
    <xdr:sp macro="" textlink="">
      <xdr:nvSpPr>
        <xdr:cNvPr id="77" name="Retângulo: Cantos Arredondados 76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/>
      </xdr:nvSpPr>
      <xdr:spPr bwMode="auto">
        <a:xfrm>
          <a:off x="424544" y="685798"/>
          <a:ext cx="7293429" cy="272143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5: Factores de conversão de unidades de Pressão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424544</xdr:colOff>
      <xdr:row>19</xdr:row>
      <xdr:rowOff>59869</xdr:rowOff>
    </xdr:from>
    <xdr:to>
      <xdr:col>9</xdr:col>
      <xdr:colOff>854530</xdr:colOff>
      <xdr:row>21</xdr:row>
      <xdr:rowOff>16326</xdr:rowOff>
    </xdr:to>
    <xdr:sp macro="" textlink="">
      <xdr:nvSpPr>
        <xdr:cNvPr id="78" name="Retângulo: Cantos Arredondados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/>
      </xdr:nvSpPr>
      <xdr:spPr bwMode="auto">
        <a:xfrm>
          <a:off x="424544" y="3483426"/>
          <a:ext cx="7293429" cy="272143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</a:schemeClr>
            </a:gs>
            <a:gs pos="50000">
              <a:schemeClr val="bg1">
                <a:lumMod val="65000"/>
              </a:schemeClr>
            </a:gs>
            <a:gs pos="97000">
              <a:schemeClr val="bg1">
                <a:lumMod val="50000"/>
              </a:schemeClr>
            </a:gs>
          </a:gsLst>
          <a:path path="rect">
            <a:fillToRect l="100000" t="100000"/>
          </a:path>
          <a:tileRect r="-100000" b="-100000"/>
        </a:gradFill>
        <a:ln>
          <a:noFill/>
          <a:headEnd type="none" w="med" len="med"/>
          <a:tailEnd type="none" w="med" len="med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vert="horz" wrap="square" lIns="18288" tIns="0" rIns="0" bIns="0" rtlCol="0" anchor="ctr" upright="1"/>
        <a:lstStyle/>
        <a:p>
          <a:pPr algn="l"/>
          <a:r>
            <a:rPr lang="pt-PT" sz="105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pt-PT" sz="14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PT" sz="1300" b="0" i="0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Quadro 6: Conversão automática de unidades de Pressão</a:t>
          </a:r>
          <a:endParaRPr lang="pt-PT" sz="1300" b="0" cap="none" spc="0">
            <a:ln w="0">
              <a:noFill/>
            </a:ln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7</xdr:row>
      <xdr:rowOff>152400</xdr:rowOff>
    </xdr:from>
    <xdr:to>
      <xdr:col>2</xdr:col>
      <xdr:colOff>590550</xdr:colOff>
      <xdr:row>19</xdr:row>
      <xdr:rowOff>104775</xdr:rowOff>
    </xdr:to>
    <xdr:sp macro="" textlink="">
      <xdr:nvSpPr>
        <xdr:cNvPr id="10248" name="Text Box 8">
          <a:extLst>
            <a:ext uri="{FF2B5EF4-FFF2-40B4-BE49-F238E27FC236}">
              <a16:creationId xmlns:a16="http://schemas.microsoft.com/office/drawing/2014/main" id="{00000000-0008-0000-0800-000008280000}"/>
            </a:ext>
          </a:extLst>
        </xdr:cNvPr>
        <xdr:cNvSpPr txBox="1">
          <a:spLocks noChangeArrowheads="1"/>
        </xdr:cNvSpPr>
      </xdr:nvSpPr>
      <xdr:spPr bwMode="auto">
        <a:xfrm>
          <a:off x="600075" y="1304925"/>
          <a:ext cx="219075" cy="2124075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Série Média (M) : EN 10255</a:t>
          </a:r>
        </a:p>
      </xdr:txBody>
    </xdr:sp>
    <xdr:clientData/>
  </xdr:twoCellAnchor>
  <xdr:twoCellAnchor>
    <xdr:from>
      <xdr:col>2</xdr:col>
      <xdr:colOff>361950</xdr:colOff>
      <xdr:row>19</xdr:row>
      <xdr:rowOff>161925</xdr:rowOff>
    </xdr:from>
    <xdr:to>
      <xdr:col>2</xdr:col>
      <xdr:colOff>590550</xdr:colOff>
      <xdr:row>26</xdr:row>
      <xdr:rowOff>47625</xdr:rowOff>
    </xdr:to>
    <xdr:sp macro="" textlink="">
      <xdr:nvSpPr>
        <xdr:cNvPr id="10249" name="Text Box 9">
          <a:extLst>
            <a:ext uri="{FF2B5EF4-FFF2-40B4-BE49-F238E27FC236}">
              <a16:creationId xmlns:a16="http://schemas.microsoft.com/office/drawing/2014/main" id="{00000000-0008-0000-0800-000009280000}"/>
            </a:ext>
          </a:extLst>
        </xdr:cNvPr>
        <xdr:cNvSpPr txBox="1">
          <a:spLocks noChangeArrowheads="1"/>
        </xdr:cNvSpPr>
      </xdr:nvSpPr>
      <xdr:spPr bwMode="auto">
        <a:xfrm>
          <a:off x="590550" y="3486150"/>
          <a:ext cx="228600" cy="1038225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36576" tIns="27432" rIns="36576" bIns="27432" anchor="ctr" upright="1"/>
        <a:lstStyle/>
        <a:p>
          <a:pPr algn="ctr" rtl="0">
            <a:defRPr sz="1000"/>
          </a:pPr>
          <a:r>
            <a:rPr lang="pt-PT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NP EN 10220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2">
    <tabColor indexed="53"/>
  </sheetPr>
  <dimension ref="A1:IV76"/>
  <sheetViews>
    <sheetView showGridLines="0" showRowColHeaders="0" showZeros="0" tabSelected="1" topLeftCell="B1" zoomScale="110" zoomScaleNormal="110" workbookViewId="0">
      <selection activeCell="K6" sqref="K6"/>
    </sheetView>
  </sheetViews>
  <sheetFormatPr defaultColWidth="2.69140625" defaultRowHeight="12.45" x14ac:dyDescent="0.3"/>
  <cols>
    <col min="1" max="1" width="3" style="2" hidden="1" customWidth="1"/>
    <col min="2" max="2" width="3.84375" style="2" customWidth="1"/>
    <col min="3" max="3" width="1.3046875" style="2" customWidth="1"/>
    <col min="4" max="4" width="3.3828125" style="2" customWidth="1"/>
    <col min="5" max="7" width="6.3828125" style="2" customWidth="1"/>
    <col min="8" max="9" width="6.69140625" style="2" customWidth="1"/>
    <col min="10" max="10" width="8.15234375" style="2" customWidth="1"/>
    <col min="11" max="11" width="8.3828125" style="2" customWidth="1"/>
    <col min="12" max="12" width="8.3046875" style="2" customWidth="1"/>
    <col min="13" max="13" width="8.69140625" style="2" customWidth="1"/>
    <col min="14" max="14" width="8.84375" style="2" customWidth="1"/>
    <col min="15" max="15" width="3" style="2" hidden="1" customWidth="1"/>
    <col min="16" max="16" width="9" style="2" customWidth="1"/>
    <col min="17" max="18" width="2" style="2" hidden="1" customWidth="1"/>
    <col min="19" max="19" width="8.53515625" style="2" customWidth="1"/>
    <col min="20" max="20" width="8.3828125" style="2" hidden="1" customWidth="1"/>
    <col min="21" max="21" width="8.3046875" style="2" customWidth="1"/>
    <col min="22" max="22" width="7.53515625" style="2" hidden="1" customWidth="1"/>
    <col min="23" max="23" width="8.15234375" style="2" customWidth="1"/>
    <col min="24" max="25" width="8.69140625" style="2" hidden="1" customWidth="1"/>
    <col min="26" max="26" width="8.53515625" style="2" customWidth="1"/>
    <col min="27" max="27" width="7.3046875" style="2" customWidth="1"/>
    <col min="28" max="28" width="7.84375" style="2" customWidth="1"/>
    <col min="29" max="29" width="8.84375" style="2" customWidth="1"/>
    <col min="30" max="30" width="4.84375" style="2" customWidth="1"/>
    <col min="31" max="31" width="3.3046875" style="2" customWidth="1"/>
    <col min="32" max="32" width="8.3046875" style="2" customWidth="1"/>
    <col min="33" max="33" width="8.53515625" style="2" customWidth="1"/>
    <col min="34" max="34" width="7.15234375" style="2" customWidth="1"/>
    <col min="35" max="35" width="8.3046875" style="2" customWidth="1"/>
    <col min="36" max="36" width="9.53515625" style="2" customWidth="1"/>
    <col min="37" max="37" width="7.3046875" style="2" customWidth="1"/>
    <col min="38" max="38" width="7.3828125" style="2" customWidth="1"/>
    <col min="39" max="39" width="9.15234375" style="2" customWidth="1"/>
    <col min="40" max="40" width="4.53515625" style="2" customWidth="1"/>
    <col min="41" max="41" width="2" style="15" customWidth="1"/>
    <col min="42" max="42" width="1" style="15" customWidth="1"/>
    <col min="43" max="43" width="4.84375" style="15" customWidth="1"/>
    <col min="44" max="44" width="2.69140625" style="15" customWidth="1"/>
    <col min="45" max="45" width="0.69140625" style="2" customWidth="1"/>
    <col min="46" max="46" width="1.53515625" style="2" customWidth="1"/>
    <col min="47" max="47" width="7.15234375" style="2" hidden="1" customWidth="1"/>
    <col min="48" max="48" width="5.3828125" style="2" hidden="1" customWidth="1"/>
    <col min="49" max="49" width="9.3046875" style="2" hidden="1" customWidth="1"/>
    <col min="50" max="52" width="7.69140625" style="2" hidden="1" customWidth="1"/>
    <col min="53" max="55" width="8.3046875" style="2" hidden="1" customWidth="1"/>
    <col min="56" max="56" width="7.15234375" style="2" hidden="1" customWidth="1"/>
    <col min="57" max="57" width="6.3828125" style="2" hidden="1" customWidth="1"/>
    <col min="58" max="58" width="7.15234375" style="2" hidden="1" customWidth="1"/>
    <col min="59" max="66" width="6.3828125" style="2" hidden="1" customWidth="1"/>
    <col min="67" max="70" width="4.3046875" style="2" hidden="1" customWidth="1"/>
    <col min="71" max="74" width="6.3828125" style="2" hidden="1" customWidth="1"/>
    <col min="75" max="75" width="3.69140625" style="2" hidden="1" customWidth="1"/>
    <col min="76" max="95" width="3.15234375" style="2" hidden="1" customWidth="1"/>
    <col min="96" max="100" width="6.3828125" style="2" hidden="1" customWidth="1"/>
    <col min="101" max="101" width="7.3828125" style="2" hidden="1" customWidth="1"/>
    <col min="102" max="102" width="19.15234375" style="2" hidden="1" customWidth="1"/>
    <col min="103" max="103" width="5.84375" style="2" hidden="1" customWidth="1"/>
    <col min="104" max="104" width="9.84375" style="2" hidden="1" customWidth="1"/>
    <col min="105" max="105" width="8.53515625" style="2" hidden="1" customWidth="1"/>
    <col min="106" max="106" width="6.53515625" style="2" hidden="1" customWidth="1"/>
    <col min="107" max="107" width="11.3828125" style="2" hidden="1" customWidth="1"/>
    <col min="108" max="108" width="11.3046875" style="2" hidden="1" customWidth="1"/>
    <col min="109" max="109" width="5.53515625" style="2" hidden="1" customWidth="1"/>
    <col min="110" max="110" width="4.69140625" style="2" hidden="1" customWidth="1"/>
    <col min="111" max="111" width="6.15234375" style="2" hidden="1" customWidth="1"/>
    <col min="112" max="112" width="8.3046875" style="2" hidden="1" customWidth="1"/>
    <col min="113" max="113" width="6.3828125" style="2" hidden="1" customWidth="1"/>
    <col min="114" max="114" width="8.69140625" style="2" hidden="1" customWidth="1"/>
    <col min="115" max="115" width="8.15234375" style="2" hidden="1" customWidth="1"/>
    <col min="116" max="116" width="5.84375" style="2" hidden="1" customWidth="1"/>
    <col min="117" max="117" width="11.15234375" style="2" hidden="1" customWidth="1"/>
    <col min="118" max="118" width="5.69140625" style="2" hidden="1" customWidth="1"/>
    <col min="119" max="119" width="6.15234375" style="2" hidden="1" customWidth="1"/>
    <col min="120" max="122" width="4.3828125" style="2" hidden="1" customWidth="1"/>
    <col min="123" max="123" width="4.3046875" style="2" hidden="1" customWidth="1"/>
    <col min="124" max="124" width="4.3828125" style="2" hidden="1" customWidth="1"/>
    <col min="125" max="125" width="4" style="2" hidden="1" customWidth="1"/>
    <col min="126" max="126" width="4.69140625" style="2" hidden="1" customWidth="1"/>
    <col min="127" max="127" width="6.15234375" style="2" hidden="1" customWidth="1"/>
    <col min="128" max="130" width="4.3828125" style="2" hidden="1" customWidth="1"/>
    <col min="131" max="131" width="4.3046875" style="2" hidden="1" customWidth="1"/>
    <col min="132" max="132" width="4.3828125" style="2" hidden="1" customWidth="1"/>
    <col min="133" max="133" width="4" style="2" hidden="1" customWidth="1"/>
    <col min="134" max="134" width="4.69140625" style="2" hidden="1" customWidth="1"/>
    <col min="135" max="135" width="6.15234375" style="2" hidden="1" customWidth="1"/>
    <col min="136" max="138" width="4.3828125" style="2" hidden="1" customWidth="1"/>
    <col min="139" max="139" width="4.3046875" style="2" hidden="1" customWidth="1"/>
    <col min="140" max="140" width="4.3828125" style="2" hidden="1" customWidth="1"/>
    <col min="141" max="141" width="4" style="2" hidden="1" customWidth="1"/>
    <col min="142" max="142" width="4.69140625" style="2" hidden="1" customWidth="1"/>
    <col min="143" max="143" width="6.15234375" style="2" hidden="1" customWidth="1"/>
    <col min="144" max="146" width="4.3828125" style="2" hidden="1" customWidth="1"/>
    <col min="147" max="147" width="4.3046875" style="2" hidden="1" customWidth="1"/>
    <col min="148" max="148" width="4.3828125" style="2" hidden="1" customWidth="1"/>
    <col min="149" max="149" width="4" style="2" hidden="1" customWidth="1"/>
    <col min="150" max="150" width="4.69140625" style="2" hidden="1" customWidth="1"/>
    <col min="151" max="151" width="4.3046875" style="2" hidden="1" customWidth="1"/>
    <col min="152" max="154" width="4.3828125" style="2" hidden="1" customWidth="1"/>
    <col min="155" max="155" width="4.3046875" style="2" hidden="1" customWidth="1"/>
    <col min="156" max="156" width="4.3828125" style="2" hidden="1" customWidth="1"/>
    <col min="157" max="157" width="4" style="2" hidden="1" customWidth="1"/>
    <col min="158" max="158" width="4.69140625" style="2" hidden="1" customWidth="1"/>
    <col min="159" max="159" width="4.3046875" style="2" hidden="1" customWidth="1"/>
    <col min="160" max="162" width="4.3828125" style="2" hidden="1" customWidth="1"/>
    <col min="163" max="163" width="4.3046875" style="2" hidden="1" customWidth="1"/>
    <col min="164" max="164" width="4.3828125" style="2" hidden="1" customWidth="1"/>
    <col min="165" max="165" width="4" style="2" hidden="1" customWidth="1"/>
    <col min="166" max="166" width="4.69140625" style="2" hidden="1" customWidth="1"/>
    <col min="167" max="167" width="4.3046875" style="2" hidden="1" customWidth="1"/>
    <col min="168" max="170" width="4.3828125" style="2" hidden="1" customWidth="1"/>
    <col min="171" max="171" width="4.3046875" style="2" hidden="1" customWidth="1"/>
    <col min="172" max="172" width="4.3828125" style="2" hidden="1" customWidth="1"/>
    <col min="173" max="173" width="4" style="2" hidden="1" customWidth="1"/>
    <col min="174" max="174" width="4.69140625" style="2" hidden="1" customWidth="1"/>
    <col min="175" max="175" width="4.3046875" style="2" hidden="1" customWidth="1"/>
    <col min="176" max="178" width="4.3828125" style="2" hidden="1" customWidth="1"/>
    <col min="179" max="179" width="4.3046875" style="2" hidden="1" customWidth="1"/>
    <col min="180" max="180" width="4.3828125" style="2" hidden="1" customWidth="1"/>
    <col min="181" max="181" width="4" style="2" hidden="1" customWidth="1"/>
    <col min="182" max="182" width="4.69140625" style="2" hidden="1" customWidth="1"/>
    <col min="183" max="183" width="4.3046875" style="2" hidden="1" customWidth="1"/>
    <col min="184" max="186" width="4.3828125" style="2" hidden="1" customWidth="1"/>
    <col min="187" max="187" width="4.3046875" style="2" hidden="1" customWidth="1"/>
    <col min="188" max="188" width="4.3828125" style="2" hidden="1" customWidth="1"/>
    <col min="189" max="189" width="4" style="2" hidden="1" customWidth="1"/>
    <col min="190" max="190" width="4.69140625" style="2" hidden="1" customWidth="1"/>
    <col min="191" max="191" width="4.3046875" style="2" hidden="1" customWidth="1"/>
    <col min="192" max="194" width="4.3828125" style="2" hidden="1" customWidth="1"/>
    <col min="195" max="195" width="4.3046875" style="2" hidden="1" customWidth="1"/>
    <col min="196" max="196" width="4.3828125" style="2" hidden="1" customWidth="1"/>
    <col min="197" max="197" width="4" style="2" hidden="1" customWidth="1"/>
    <col min="198" max="198" width="4.69140625" style="2" hidden="1" customWidth="1"/>
    <col min="199" max="199" width="4.3046875" style="2" hidden="1" customWidth="1"/>
    <col min="200" max="202" width="4.3828125" style="2" hidden="1" customWidth="1"/>
    <col min="203" max="203" width="4.3046875" style="2" hidden="1" customWidth="1"/>
    <col min="204" max="204" width="4.3828125" style="2" hidden="1" customWidth="1"/>
    <col min="205" max="205" width="4" style="2" hidden="1" customWidth="1"/>
    <col min="206" max="206" width="4.69140625" style="2" hidden="1" customWidth="1"/>
    <col min="207" max="207" width="4.3046875" style="2" hidden="1" customWidth="1"/>
    <col min="208" max="210" width="4.3828125" style="2" hidden="1" customWidth="1"/>
    <col min="211" max="211" width="4.3046875" style="2" hidden="1" customWidth="1"/>
    <col min="212" max="212" width="4.3828125" style="2" hidden="1" customWidth="1"/>
    <col min="213" max="213" width="4" style="2" hidden="1" customWidth="1"/>
    <col min="214" max="214" width="4.69140625" style="2" hidden="1" customWidth="1"/>
    <col min="215" max="215" width="4.3046875" style="2" hidden="1" customWidth="1"/>
    <col min="216" max="218" width="4.3828125" style="2" hidden="1" customWidth="1"/>
    <col min="219" max="219" width="4.3046875" style="2" hidden="1" customWidth="1"/>
    <col min="220" max="220" width="4.3828125" style="2" hidden="1" customWidth="1"/>
    <col min="221" max="221" width="4" style="2" hidden="1" customWidth="1"/>
    <col min="222" max="222" width="4.69140625" style="2" hidden="1" customWidth="1"/>
    <col min="223" max="223" width="4.3046875" style="2" hidden="1" customWidth="1"/>
    <col min="224" max="226" width="4.3828125" style="2" hidden="1" customWidth="1"/>
    <col min="227" max="227" width="4.3046875" style="2" hidden="1" customWidth="1"/>
    <col min="228" max="228" width="4.3828125" style="2" hidden="1" customWidth="1"/>
    <col min="229" max="229" width="4" style="2" hidden="1" customWidth="1"/>
    <col min="230" max="230" width="4.69140625" style="2" hidden="1" customWidth="1"/>
    <col min="231" max="231" width="4.3046875" style="2" hidden="1" customWidth="1"/>
    <col min="232" max="234" width="4.3828125" style="2" hidden="1" customWidth="1"/>
    <col min="235" max="235" width="4.3046875" style="2" hidden="1" customWidth="1"/>
    <col min="236" max="236" width="4.3828125" style="2" hidden="1" customWidth="1"/>
    <col min="237" max="237" width="4" style="2" hidden="1" customWidth="1"/>
    <col min="238" max="238" width="4.69140625" style="2" hidden="1" customWidth="1"/>
    <col min="239" max="239" width="4.3046875" style="2" hidden="1" customWidth="1"/>
    <col min="240" max="242" width="4.3828125" style="2" hidden="1" customWidth="1"/>
    <col min="243" max="243" width="4.3046875" style="2" hidden="1" customWidth="1"/>
    <col min="244" max="244" width="4.3828125" style="2" hidden="1" customWidth="1"/>
    <col min="245" max="245" width="4" style="2" hidden="1" customWidth="1"/>
    <col min="246" max="246" width="4.69140625" style="2" hidden="1" customWidth="1"/>
    <col min="247" max="247" width="4.3046875" style="2" hidden="1" customWidth="1"/>
    <col min="248" max="250" width="4.3828125" style="2" hidden="1" customWidth="1"/>
    <col min="251" max="251" width="4.3046875" style="2" hidden="1" customWidth="1"/>
    <col min="252" max="252" width="4.3828125" style="2" hidden="1" customWidth="1"/>
    <col min="253" max="253" width="4" style="2" hidden="1" customWidth="1"/>
    <col min="254" max="254" width="4.69140625" style="2" hidden="1" customWidth="1"/>
    <col min="255" max="255" width="4.3046875" style="2" hidden="1" customWidth="1"/>
    <col min="256" max="256" width="2.69140625" style="2" customWidth="1"/>
    <col min="257" max="257" width="2.84375" style="2" bestFit="1" customWidth="1"/>
    <col min="258" max="16384" width="2.69140625" style="2"/>
  </cols>
  <sheetData>
    <row r="1" spans="1:121" ht="3.75" customHeight="1" x14ac:dyDescent="0.3"/>
    <row r="2" spans="1:121" s="16" customFormat="1" ht="21" customHeight="1" x14ac:dyDescent="0.3">
      <c r="A2" s="980"/>
      <c r="B2" s="981" t="s">
        <v>507</v>
      </c>
      <c r="C2" s="981"/>
      <c r="D2" s="981"/>
      <c r="E2" s="982"/>
      <c r="F2" s="983"/>
      <c r="G2" s="983"/>
      <c r="H2" s="983"/>
      <c r="I2" s="983"/>
      <c r="J2" s="983"/>
      <c r="K2" s="983"/>
      <c r="L2" s="983"/>
      <c r="M2" s="983"/>
      <c r="N2" s="983"/>
      <c r="O2" s="983"/>
      <c r="P2" s="983"/>
      <c r="Q2" s="353"/>
      <c r="R2" s="353"/>
      <c r="S2" s="691"/>
      <c r="T2" s="353"/>
      <c r="U2" s="354" t="s">
        <v>143</v>
      </c>
      <c r="V2" s="354"/>
      <c r="W2" s="1155"/>
      <c r="X2" s="1155"/>
      <c r="Y2" s="1155"/>
      <c r="Z2" s="1155"/>
      <c r="AA2" s="1155"/>
      <c r="AC2" s="354" t="s">
        <v>144</v>
      </c>
      <c r="AD2" s="1155"/>
      <c r="AE2" s="1155"/>
      <c r="AF2" s="1155"/>
      <c r="AG2" s="1155"/>
      <c r="AH2" s="1155"/>
      <c r="AI2" s="1155"/>
      <c r="AJ2" s="1155"/>
      <c r="AK2" s="1155"/>
      <c r="AL2" s="1155"/>
      <c r="AM2" s="354" t="s">
        <v>145</v>
      </c>
      <c r="AN2" s="1175"/>
      <c r="AO2" s="1176"/>
      <c r="AP2" s="1176"/>
      <c r="AQ2" s="1176"/>
      <c r="AR2" s="1176"/>
    </row>
    <row r="3" spans="1:121" ht="4.5" customHeight="1" thickBot="1" x14ac:dyDescent="0.35">
      <c r="B3" s="984"/>
      <c r="C3" s="984"/>
      <c r="D3" s="984"/>
      <c r="E3" s="984"/>
      <c r="F3" s="985"/>
      <c r="G3" s="984"/>
      <c r="H3" s="984"/>
      <c r="I3" s="984"/>
      <c r="J3" s="984"/>
      <c r="AP3" s="17"/>
      <c r="AQ3" s="17"/>
      <c r="AR3" s="17"/>
    </row>
    <row r="4" spans="1:121" s="356" customFormat="1" ht="19.5" customHeight="1" thickTop="1" thickBot="1" x14ac:dyDescent="0.35">
      <c r="A4" s="355"/>
      <c r="B4" s="986"/>
      <c r="C4" s="987"/>
      <c r="D4" s="987"/>
      <c r="E4" s="987"/>
      <c r="F4" s="988"/>
      <c r="G4" s="987"/>
      <c r="H4" s="989"/>
      <c r="I4" s="990"/>
      <c r="J4" s="990"/>
      <c r="K4" s="991" t="s">
        <v>348</v>
      </c>
      <c r="L4" s="991" t="s">
        <v>349</v>
      </c>
      <c r="M4" s="992" t="s">
        <v>350</v>
      </c>
      <c r="N4" s="993"/>
      <c r="O4" s="993"/>
      <c r="P4" s="993"/>
      <c r="Q4" s="994"/>
      <c r="R4" s="994"/>
      <c r="S4" s="995"/>
      <c r="T4" s="978"/>
      <c r="U4" s="1003"/>
      <c r="V4" s="1004"/>
      <c r="W4" s="1004"/>
      <c r="X4" s="1004"/>
      <c r="Y4" s="1004"/>
      <c r="Z4" s="1004"/>
      <c r="AA4" s="1004" t="s">
        <v>139</v>
      </c>
      <c r="AB4" s="1004"/>
      <c r="AC4" s="1004" t="s">
        <v>109</v>
      </c>
      <c r="AD4" s="1005"/>
      <c r="AE4" s="1005"/>
      <c r="AF4" s="1005"/>
      <c r="AG4" s="1009"/>
      <c r="AH4" s="1010"/>
      <c r="AI4" s="1006"/>
      <c r="AJ4" s="1006"/>
      <c r="AK4" s="1004" t="s">
        <v>139</v>
      </c>
      <c r="AL4" s="1004"/>
      <c r="AM4" s="1004" t="s">
        <v>109</v>
      </c>
      <c r="AN4" s="1005"/>
      <c r="AO4" s="1007"/>
      <c r="AP4" s="1008"/>
      <c r="AQ4" s="1008"/>
      <c r="AR4" s="1008"/>
      <c r="CY4" s="198"/>
      <c r="CZ4" s="357" t="s">
        <v>221</v>
      </c>
      <c r="DA4" s="358" t="s">
        <v>217</v>
      </c>
      <c r="DB4" s="359" t="str">
        <f>CZ7</f>
        <v/>
      </c>
      <c r="DC4" s="358" t="s">
        <v>223</v>
      </c>
      <c r="DD4" s="359">
        <f>IF(OR(DB4="",DB5=""),0,DB4+DB5)</f>
        <v>0</v>
      </c>
      <c r="DF4" s="358" t="s">
        <v>225</v>
      </c>
      <c r="DG4" s="359">
        <f>IF(OR(DB4="",DB5=""),0,DD4+DD5)</f>
        <v>0</v>
      </c>
      <c r="DI4" s="198"/>
      <c r="DJ4" s="357" t="s">
        <v>222</v>
      </c>
      <c r="DK4" s="358" t="s">
        <v>217</v>
      </c>
      <c r="DL4" s="359" t="str">
        <f>DJ7</f>
        <v/>
      </c>
      <c r="DM4" s="358" t="s">
        <v>223</v>
      </c>
      <c r="DN4" s="359">
        <f>IF(OR(DL4="",DL5=""),0,DL4+DL5)</f>
        <v>0</v>
      </c>
      <c r="DP4" s="358" t="s">
        <v>225</v>
      </c>
      <c r="DQ4" s="359">
        <f>IF(OR(DL4="",DL5=""),0,DN4+DN5)</f>
        <v>0</v>
      </c>
    </row>
    <row r="5" spans="1:121" ht="16.5" customHeight="1" thickTop="1" thickBot="1" x14ac:dyDescent="0.45">
      <c r="D5" s="767"/>
      <c r="H5" s="766" t="s">
        <v>391</v>
      </c>
      <c r="I5" s="686">
        <v>1</v>
      </c>
      <c r="J5" s="638"/>
      <c r="M5" s="694" t="str">
        <f>IF(I5=1,"Cálculo para Gás Natural (GN)",IF(I5=2,"Cálculo para Gás Propano (GPL)",IF(I5=3,"Cálculo para Gás de Cidade (GC)","Gás especificado pelo utilizador")))</f>
        <v>Cálculo para Gás Natural (GN)</v>
      </c>
      <c r="O5" s="360"/>
      <c r="S5" s="652"/>
      <c r="U5" s="1040"/>
      <c r="V5" s="1041"/>
      <c r="W5" s="1041"/>
      <c r="X5" s="1042"/>
      <c r="Y5" s="1042"/>
      <c r="Z5" s="1042"/>
      <c r="AA5" s="1042" t="s">
        <v>87</v>
      </c>
      <c r="AB5" s="1042"/>
      <c r="AC5" s="1043" t="s">
        <v>42</v>
      </c>
      <c r="AG5" s="658"/>
      <c r="AH5" s="1049"/>
      <c r="AI5" s="1049"/>
      <c r="AJ5" s="1049"/>
      <c r="AK5" s="1042" t="s">
        <v>87</v>
      </c>
      <c r="AL5" s="1042"/>
      <c r="AM5" s="1043" t="s">
        <v>42</v>
      </c>
      <c r="AN5" s="15"/>
      <c r="AW5" s="231" t="s">
        <v>324</v>
      </c>
      <c r="AX5" s="222"/>
      <c r="AY5" s="222"/>
      <c r="AZ5" s="223"/>
      <c r="CZ5" s="187" t="s">
        <v>216</v>
      </c>
      <c r="DA5" s="187" t="s">
        <v>218</v>
      </c>
      <c r="DB5" s="151" t="str">
        <f>IF(CZ7="","",IF($DB$8&lt;&gt;1,DB4,DE7))</f>
        <v/>
      </c>
      <c r="DC5" s="187" t="s">
        <v>224</v>
      </c>
      <c r="DD5" s="151">
        <f>IF(OR(DB4="",DB5=""),0,(SUM(DA9:DA15)-DD4)/2)</f>
        <v>0</v>
      </c>
      <c r="DJ5" s="187" t="s">
        <v>216</v>
      </c>
      <c r="DK5" s="187" t="s">
        <v>218</v>
      </c>
      <c r="DL5" s="151" t="str">
        <f>IF(DJ7="","",IF($DL$8&lt;&gt;1,DL4,DO7))</f>
        <v/>
      </c>
      <c r="DM5" s="187" t="s">
        <v>224</v>
      </c>
      <c r="DN5" s="151">
        <f>IF(OR(DL4="",DL5=""),0,(SUM(DK9:DK15)-DN4)/2)</f>
        <v>0</v>
      </c>
    </row>
    <row r="6" spans="1:121" ht="16.5" customHeight="1" thickTop="1" thickBot="1" x14ac:dyDescent="0.35">
      <c r="E6" s="681" t="s">
        <v>406</v>
      </c>
      <c r="F6" s="663"/>
      <c r="G6" s="663"/>
      <c r="H6" s="663"/>
      <c r="I6" s="671" t="s">
        <v>79</v>
      </c>
      <c r="J6" s="666" t="s">
        <v>357</v>
      </c>
      <c r="K6" s="917"/>
      <c r="L6" s="639">
        <f>IF(K6&lt;&gt;"",K6,IF($I$5=7,"",VLOOKUP($I$5,'Quadros 0 , 1 , 2 , 3 e 4'!$J$35:$O$40,3)))</f>
        <v>9054</v>
      </c>
      <c r="M6" s="695" t="str">
        <f>IF(K6&lt;&gt;"","Valor fixado pelo utilizador","Medido em condições normais")</f>
        <v>Medido em condições normais</v>
      </c>
      <c r="N6" s="663"/>
      <c r="O6" s="696"/>
      <c r="P6" s="663"/>
      <c r="S6" s="653"/>
      <c r="U6" s="1044"/>
      <c r="V6" s="1045" t="s">
        <v>203</v>
      </c>
      <c r="W6" s="1045"/>
      <c r="X6" s="1046"/>
      <c r="Y6" s="1046"/>
      <c r="Z6" s="1047"/>
      <c r="AA6" s="1046" t="s">
        <v>4</v>
      </c>
      <c r="AB6" s="1047"/>
      <c r="AC6" s="1048" t="s">
        <v>88</v>
      </c>
      <c r="AG6" s="659"/>
      <c r="AH6" s="1045"/>
      <c r="AI6" s="1045"/>
      <c r="AJ6" s="1050"/>
      <c r="AK6" s="1046" t="s">
        <v>4</v>
      </c>
      <c r="AL6" s="1047"/>
      <c r="AM6" s="1051" t="s">
        <v>88</v>
      </c>
      <c r="AN6" s="15"/>
      <c r="AW6" s="618">
        <f>IF(K6&lt;&gt;"",K6,IF(AND(L6&lt;&gt;"",L6&gt;0),L6,""))</f>
        <v>9054</v>
      </c>
      <c r="AX6" s="249" t="s">
        <v>322</v>
      </c>
      <c r="AY6" s="617"/>
      <c r="AZ6" s="250"/>
      <c r="CY6" s="190"/>
      <c r="CZ6" s="188"/>
      <c r="DA6" s="188"/>
      <c r="DB6" s="189" t="s">
        <v>219</v>
      </c>
      <c r="DC6" s="190" t="s">
        <v>220</v>
      </c>
      <c r="DD6" s="188"/>
      <c r="DE6" s="188"/>
      <c r="DF6" s="188"/>
      <c r="DG6" s="188"/>
      <c r="DI6" s="190"/>
      <c r="DJ6" s="188"/>
      <c r="DK6" s="188"/>
      <c r="DL6" s="189" t="s">
        <v>219</v>
      </c>
      <c r="DM6" s="190" t="s">
        <v>220</v>
      </c>
      <c r="DN6" s="188"/>
      <c r="DO6" s="188"/>
      <c r="DP6" s="188"/>
      <c r="DQ6" s="196"/>
    </row>
    <row r="7" spans="1:121" s="21" customFormat="1" ht="15.75" customHeight="1" thickTop="1" thickBot="1" x14ac:dyDescent="0.45">
      <c r="E7" s="678" t="s">
        <v>112</v>
      </c>
      <c r="F7" s="665"/>
      <c r="G7" s="665"/>
      <c r="H7" s="665"/>
      <c r="I7" s="672" t="s">
        <v>278</v>
      </c>
      <c r="J7" s="667"/>
      <c r="K7" s="918"/>
      <c r="L7" s="170">
        <f>IF(K7&lt;&gt;"",K7,IF($I$5=7,"",VLOOKUP($I$5,'Quadros 0 , 1 , 2 , 3 e 4'!$J$35:$O$40,4)))</f>
        <v>0.65</v>
      </c>
      <c r="M7" s="697" t="str">
        <f>IF(K7&lt;&gt;"","Valor fixado pelo utilizador","Em relação ao ar")</f>
        <v>Em relação ao ar</v>
      </c>
      <c r="N7" s="665"/>
      <c r="O7" s="696"/>
      <c r="P7" s="665"/>
      <c r="S7" s="649"/>
      <c r="U7" s="152"/>
      <c r="V7" s="109"/>
      <c r="X7" s="616"/>
      <c r="Y7" s="616"/>
      <c r="Z7" s="656"/>
      <c r="AA7" s="491" t="s">
        <v>280</v>
      </c>
      <c r="AB7" s="492"/>
      <c r="AC7" s="491" t="s">
        <v>281</v>
      </c>
      <c r="AG7" s="660"/>
      <c r="AH7" s="19"/>
      <c r="AK7" s="491" t="s">
        <v>280</v>
      </c>
      <c r="AL7" s="492"/>
      <c r="AM7" s="491" t="s">
        <v>281</v>
      </c>
      <c r="AN7" s="15"/>
      <c r="AO7" s="15"/>
      <c r="AP7" s="15"/>
      <c r="AQ7" s="15"/>
      <c r="AR7" s="15"/>
      <c r="AW7" s="248">
        <f>IF(K7&lt;&gt;"",K7,IF(AND(L7&lt;&gt;"",L7&gt;0),L7,""))</f>
        <v>0.65</v>
      </c>
      <c r="AX7" s="249" t="s">
        <v>323</v>
      </c>
      <c r="AY7" s="617"/>
      <c r="AZ7" s="250"/>
      <c r="CY7" s="190"/>
      <c r="CZ7" s="151" t="str">
        <f>IF(OR(MAX(CZ9:CZ15)="",MAX(CZ9:CZ15)=0),"",MAX(CZ9:CZ15))</f>
        <v/>
      </c>
      <c r="DA7" s="157" t="s">
        <v>54</v>
      </c>
      <c r="DB7" s="151" t="str">
        <f>CZ7</f>
        <v/>
      </c>
      <c r="DC7" s="184" t="str">
        <f>IF(OR(MIN(DC9:DC15)="",MIN(DC9:DC15)=0),"",MIN(DC9:DC15))</f>
        <v/>
      </c>
      <c r="DD7" s="184" t="str">
        <f>IF(OR(MIN(DD9:DD15)="",MIN(DD9:DD15)=0),"",MIN(DD9:DD15))</f>
        <v/>
      </c>
      <c r="DE7" s="151">
        <f>IF(DE9&lt;&gt;"",DE9,IF(DE10&lt;&gt;"",DE10,IF(DE11&lt;&gt;"",DE11,IF(DE12&lt;&gt;"",DE12,IF(DE13&lt;&gt;"",DE13,IF(DE14&lt;&gt;"",DE14,IF(DE15&lt;&gt;"",DE15,0)))))))</f>
        <v>0</v>
      </c>
      <c r="DG7" s="193"/>
      <c r="DI7" s="190"/>
      <c r="DJ7" s="151" t="str">
        <f>IF(OR(MAX(DJ9:DJ15)="",MAX(DJ9:DJ15)=0),"",MAX(DJ9:DJ15))</f>
        <v/>
      </c>
      <c r="DK7" s="157" t="s">
        <v>54</v>
      </c>
      <c r="DL7" s="151" t="str">
        <f>DJ7</f>
        <v/>
      </c>
      <c r="DM7" s="184" t="str">
        <f>IF(OR(MIN(DM9:DM15)="",MIN(DM9:DM15)=0),"",MIN(DM9:DM15))</f>
        <v/>
      </c>
      <c r="DN7" s="184" t="str">
        <f>IF(OR(MIN(DN9:DN15)="",MIN(DN9:DN15)=0),"",MIN(DN9:DN15))</f>
        <v/>
      </c>
      <c r="DO7" s="151">
        <f>IF(DO9&lt;&gt;"",DO9,IF(DO10&lt;&gt;"",DO10,IF(DO11&lt;&gt;"",DO11,IF(DO12&lt;&gt;"",DO12,IF(DO13&lt;&gt;"",DO13,IF(DO14&lt;&gt;"",DO14,IF(DO15&lt;&gt;"",DO15,0)))))))</f>
        <v>0</v>
      </c>
      <c r="DQ7" s="197"/>
    </row>
    <row r="8" spans="1:121" ht="17.25" customHeight="1" thickTop="1" thickBot="1" x14ac:dyDescent="0.35">
      <c r="E8" s="678" t="s">
        <v>113</v>
      </c>
      <c r="F8" s="663"/>
      <c r="G8" s="663"/>
      <c r="H8" s="663"/>
      <c r="I8" s="672" t="s">
        <v>279</v>
      </c>
      <c r="J8" s="667"/>
      <c r="K8" s="918"/>
      <c r="L8" s="170">
        <f>IF(K8&lt;&gt;"",K8,IF($I$5=7,"",VLOOKUP($I$5,'Quadros 0 , 1 , 2 , 3 e 4'!$J$35:$O$40,5)))</f>
        <v>0.62</v>
      </c>
      <c r="M8" s="695" t="str">
        <f>IF(K8&lt;&gt;"","Valor fixado pelo utilizador","Em relação ao gás de cidade")</f>
        <v>Em relação ao gás de cidade</v>
      </c>
      <c r="N8" s="663"/>
      <c r="O8" s="663"/>
      <c r="P8" s="663"/>
      <c r="S8" s="650"/>
      <c r="U8" s="191" t="s">
        <v>399</v>
      </c>
      <c r="V8" s="21"/>
      <c r="X8" s="27"/>
      <c r="Y8" s="27"/>
      <c r="Z8" s="657"/>
      <c r="AA8" s="373" t="s">
        <v>55</v>
      </c>
      <c r="AB8" s="21"/>
      <c r="AC8" s="374" t="s">
        <v>164</v>
      </c>
      <c r="AG8" s="661"/>
      <c r="AH8" s="191" t="s">
        <v>399</v>
      </c>
      <c r="AI8" s="191"/>
      <c r="AK8" s="373" t="s">
        <v>55</v>
      </c>
      <c r="AL8" s="3"/>
      <c r="AM8" s="374" t="s">
        <v>164</v>
      </c>
      <c r="AN8" s="15"/>
      <c r="AW8" s="248">
        <f>IF(K8&lt;&gt;"",K8,IF(AND(L8&lt;&gt;"",L8&gt;0),L8,""))</f>
        <v>0.62</v>
      </c>
      <c r="AX8" s="249" t="s">
        <v>325</v>
      </c>
      <c r="AY8" s="617"/>
      <c r="AZ8" s="250"/>
      <c r="CY8" s="190"/>
      <c r="CZ8" s="183"/>
      <c r="DA8" s="154" t="s">
        <v>110</v>
      </c>
      <c r="DB8" s="186">
        <f>IF(SUM(DB9:DB15)=1,1,2)</f>
        <v>2</v>
      </c>
      <c r="DG8" s="188"/>
      <c r="DI8" s="190"/>
      <c r="DJ8" s="183"/>
      <c r="DK8" s="154" t="s">
        <v>110</v>
      </c>
      <c r="DL8" s="186">
        <f>IF(SUM(DL9:DL15)=1,1,2)</f>
        <v>2</v>
      </c>
      <c r="DQ8" s="196"/>
    </row>
    <row r="9" spans="1:121" ht="18" customHeight="1" thickTop="1" thickBot="1" x14ac:dyDescent="0.35">
      <c r="D9" s="680"/>
      <c r="E9" s="678" t="s">
        <v>355</v>
      </c>
      <c r="F9" s="676"/>
      <c r="G9" s="676"/>
      <c r="H9" s="676"/>
      <c r="I9" s="637" t="s">
        <v>356</v>
      </c>
      <c r="J9" s="668" t="s">
        <v>352</v>
      </c>
      <c r="K9" s="918"/>
      <c r="L9" s="170">
        <f>IF(K9&lt;&gt;"",K9,IF($I$5=7,"",VLOOKUP($I$5,'Quadros 0 , 1 , 2 , 3 e 4'!$J$35:$O$40,6)))</f>
        <v>0.84</v>
      </c>
      <c r="M9" s="695" t="str">
        <f>IF(K9&lt;&gt;"","Valor fixado pelo utilizador","Medida em condições normais")</f>
        <v>Medida em condições normais</v>
      </c>
      <c r="N9" s="663"/>
      <c r="O9" s="663"/>
      <c r="P9" s="663"/>
      <c r="Q9" s="631"/>
      <c r="S9" s="1130" t="str">
        <f>IF(OR(AA9=0,AA9=""),"","A1")</f>
        <v/>
      </c>
      <c r="V9" s="86"/>
      <c r="X9" s="571"/>
      <c r="Y9" s="571"/>
      <c r="Z9" s="655">
        <v>11</v>
      </c>
      <c r="AA9" s="970">
        <f>IF($Z9=20,"",VLOOKUP($Z9,'Quadros 0 , 1 , 2 , 3 e 4'!$C$9:$G$27,5))</f>
        <v>0</v>
      </c>
      <c r="AB9" s="654" t="str">
        <f>IF(OR(AA9="",AA9=0,$L$6=0,$L$6=""),"",IF(AND(AC9=$DB$4,CY9=1),"Q1 =",IF(AND(AC9=$DB$4,CY9=2),"Q2 =",IF(AND(AC9=$DB$5,DG9=1),"Q2 =","Qi ="))))</f>
        <v/>
      </c>
      <c r="AC9" s="972" t="str">
        <f>IF(OR(AA9="",AA9=0,$L$6=0,$L$6=""),"",CEILING(((AA9*860)/$L$6)*(288/273),0.01))</f>
        <v/>
      </c>
      <c r="AD9" s="195" t="str">
        <f>IF(AB9="Q1 =","1.6",IF(AB9="Q2 =","1.7",""))</f>
        <v/>
      </c>
      <c r="AE9" s="756"/>
      <c r="AG9" s="1130" t="str">
        <f>IF(OR(AK9=0,AK9=""),"","A6")</f>
        <v/>
      </c>
      <c r="AH9" s="19"/>
      <c r="AJ9" s="655">
        <v>20</v>
      </c>
      <c r="AK9" s="970" t="str">
        <f>IF($AJ9=20,"",VLOOKUP($AJ9,'Quadros 0 , 1 , 2 , 3 e 4'!$C$9:$G$27,5))</f>
        <v/>
      </c>
      <c r="AL9" s="654" t="str">
        <f>IF(OR(AK9="",AK9=0,$L$6=0,$L$6=""),"",IF(AND(AM9=$DL$4,DI9=1),"Q1 =",IF(AND(AM9=$DL$4,DI9=2),"Q2 =",IF(AND(AM9=$DL$5,DQ9=1),"Q2 =","Qi ="))))</f>
        <v/>
      </c>
      <c r="AM9" s="972" t="str">
        <f>IF(OR(AK9="",AK9=0,$L$6=0,$L$6=""),"",CEILING(((AK9*860)/$L$6)*(288/273),0.01))</f>
        <v/>
      </c>
      <c r="AN9" s="692" t="str">
        <f>IF(AL9="Q1 =","1.6",IF(AL9="Q2 =","1.7",""))</f>
        <v/>
      </c>
      <c r="CY9" s="192">
        <f>IF(DB9=0,0,DB9)</f>
        <v>0</v>
      </c>
      <c r="CZ9" s="151" t="str">
        <f>IF(OR($DA9="",$DA9=0),"",$DA9)</f>
        <v/>
      </c>
      <c r="DA9" s="151" t="str">
        <f>AC9</f>
        <v/>
      </c>
      <c r="DB9" s="185">
        <f>IF(OR($DA9="",$DA9=0),0,IF(DA9=$DB$7,1,0))</f>
        <v>0</v>
      </c>
      <c r="DC9" s="184" t="str">
        <f>IF(OR($DA9="",$DA9=0),"",($CZ$7-CZ9))</f>
        <v/>
      </c>
      <c r="DD9" s="184" t="str">
        <f>IF(OR($DC9="",$DC9=0),"",$DC9)</f>
        <v/>
      </c>
      <c r="DE9" s="151" t="str">
        <f>IF(OR($DD9="",$DD9=0),"",IF(DD9=$DD$7,DA9,""))</f>
        <v/>
      </c>
      <c r="DF9" s="185">
        <f>IF(OR(DD9="",DD9=0),0,IF(DD9=$DD$7,1,0))</f>
        <v>0</v>
      </c>
      <c r="DG9" s="194">
        <f>IF(DF9=0,0,DF9)</f>
        <v>0</v>
      </c>
      <c r="DI9" s="192">
        <f>IF(DL9=0,0,DL9)</f>
        <v>0</v>
      </c>
      <c r="DJ9" s="151" t="str">
        <f>IF(OR($DK9="",$DK9=0),"",$DK9)</f>
        <v/>
      </c>
      <c r="DK9" s="151" t="str">
        <f>AM9</f>
        <v/>
      </c>
      <c r="DL9" s="185">
        <f>IF(OR($DK9="",$DK9=0),0,IF(DK9=$DL$7,1,0))</f>
        <v>0</v>
      </c>
      <c r="DM9" s="184" t="str">
        <f>IF(OR($DK9="",$DK9=0),"",($DJ$7-DJ9))</f>
        <v/>
      </c>
      <c r="DN9" s="184" t="str">
        <f>IF(OR($DM9="",$DM9=0),"",$DM9)</f>
        <v/>
      </c>
      <c r="DO9" s="151" t="str">
        <f>IF(OR($DN9="",$DN9=0),"",IF(DN9=$DN$7,DK9,""))</f>
        <v/>
      </c>
      <c r="DP9" s="185">
        <f>IF(OR(DN9="",DN9=0),0,IF(DN9=$DN$7,1,0))</f>
        <v>0</v>
      </c>
      <c r="DQ9" s="194">
        <f>IF(DP9=0,0,DP9)</f>
        <v>0</v>
      </c>
    </row>
    <row r="10" spans="1:121" ht="18" customHeight="1" thickTop="1" thickBot="1" x14ac:dyDescent="0.35">
      <c r="D10" s="664" t="s">
        <v>368</v>
      </c>
      <c r="E10" s="663"/>
      <c r="F10" s="663"/>
      <c r="G10" s="663"/>
      <c r="H10" s="677"/>
      <c r="I10" s="672" t="s">
        <v>392</v>
      </c>
      <c r="J10" s="669" t="str">
        <f>IF($K$17="x","kPa","mbar")</f>
        <v>mbar</v>
      </c>
      <c r="K10" s="919"/>
      <c r="L10" s="643">
        <f>IF(K10&lt;&gt;"",K10,IF($I$5=2,1500*$AW$12,IF(AND(OR($K$15="x",K15="ok",K15="sim",K15="s"),$I$5=1),300*$AW$12,100*$AW$12)))</f>
        <v>100</v>
      </c>
      <c r="M10" s="664" t="str">
        <f>IF(OR(AND(K15="x",L10=300,K17=""),AND(K15="",L10=100,K17=""),AND(K15="x",L10=30,K17="x"),AND(K15="",L10=10,K17="x")),"Requisito aplicável em Portugal","Requisito fixado pelo utilizador")</f>
        <v>Requisito aplicável em Portugal</v>
      </c>
      <c r="N10" s="663"/>
      <c r="O10" s="663"/>
      <c r="P10" s="663"/>
      <c r="Q10" s="496"/>
      <c r="S10" s="1130" t="str">
        <f>IF(OR(AA10=0,AA10=""),"","A2")</f>
        <v/>
      </c>
      <c r="V10" s="490"/>
      <c r="X10" s="571"/>
      <c r="Y10" s="571"/>
      <c r="Z10" s="655">
        <v>11</v>
      </c>
      <c r="AA10" s="970">
        <f>IF($Z10=20,"",VLOOKUP($Z10,'Quadros 0 , 1 , 2 , 3 e 4'!$C$9:$G$27,5))</f>
        <v>0</v>
      </c>
      <c r="AB10" s="654" t="str">
        <f>IF(OR(AA10="",AA10=0,$L$6=0,$L$6=""),"",IF(AND(AC10=$DB$4,CY10=1),"Q1 =",IF(AND(AC10=$DB$4,CY10=2),"Q2 =",IF(AND(AC10=$DB$5,DG10=1),"Q2 =","Qi ="))))</f>
        <v/>
      </c>
      <c r="AC10" s="972" t="str">
        <f>IF(OR(AA10="",AA10=0,$L$6=0,$L$6=""),"",CEILING(((AA10*860)/$L$6)*(288/273),0.01))</f>
        <v/>
      </c>
      <c r="AD10" s="195" t="str">
        <f>IF(AB10="Q1 =","1.6",IF(AB10="Q2 =","1.7",""))</f>
        <v/>
      </c>
      <c r="AE10" s="756"/>
      <c r="AG10" s="1130" t="str">
        <f>IF(OR(AK10=0,AK10=""),"","A7")</f>
        <v/>
      </c>
      <c r="AH10" s="19"/>
      <c r="AJ10" s="655">
        <v>20</v>
      </c>
      <c r="AK10" s="970" t="str">
        <f>IF($AJ10=20,"",VLOOKUP($AJ10,'Quadros 0 , 1 , 2 , 3 e 4'!$C$9:$G$27,5))</f>
        <v/>
      </c>
      <c r="AL10" s="654" t="str">
        <f>IF(OR(AK10="",AK10=0,$L$6=0,$L$6=""),"",IF(AND(AM10=$DL$4,DI10=1),"Q1 =",IF(AND(AM10=$DL$4,DI10=2),"Q2 =",IF(AND(AM10=$DL$5,DQ10=1),"Q2 =","Qi ="))))</f>
        <v/>
      </c>
      <c r="AM10" s="972" t="str">
        <f>IF(OR(AK10="",AK10=0,$L$6=0,$L$6=""),"",CEILING(((AK10*860)/$L$6)*(288/273),0.01))</f>
        <v/>
      </c>
      <c r="AN10" s="692" t="str">
        <f>IF(AL10="Q1 =","1.6",IF(AL10="Q2 =","1.7",""))</f>
        <v/>
      </c>
      <c r="AW10" s="248">
        <f>IF(AND(L10&lt;&gt;"",L10&gt;0),L10,"")</f>
        <v>100</v>
      </c>
      <c r="AX10" s="249" t="s">
        <v>241</v>
      </c>
      <c r="AY10" s="617"/>
      <c r="AZ10" s="250"/>
      <c r="CY10" s="192">
        <f>IF(DB10=0,0,SUM(DB$9:DB10))</f>
        <v>0</v>
      </c>
      <c r="CZ10" s="151" t="str">
        <f>IF(OR($DA10="",$DA10=0),"",$DA10)</f>
        <v/>
      </c>
      <c r="DA10" s="151" t="str">
        <f>AC10</f>
        <v/>
      </c>
      <c r="DB10" s="185">
        <f>IF(OR($DA10="",$DA10=0),0,IF(DA10=$DB$7,1,0))</f>
        <v>0</v>
      </c>
      <c r="DC10" s="184" t="str">
        <f>IF(OR($DA10="",$DA10=0),"",($CZ$7-CZ10))</f>
        <v/>
      </c>
      <c r="DD10" s="184" t="str">
        <f>IF(OR($DC10="",$DC10=0),"",$DC10)</f>
        <v/>
      </c>
      <c r="DE10" s="151" t="str">
        <f>IF(OR($DD10="",$DD10=0),"",IF(DD10=$DD$7,DA10,""))</f>
        <v/>
      </c>
      <c r="DF10" s="185">
        <f>IF(OR(DD10="",DD10=0),0,IF(DD10=$DD$7,1,0))</f>
        <v>0</v>
      </c>
      <c r="DG10" s="194">
        <f>IF(DF10=0,0,SUM(DF$9:DF10))</f>
        <v>0</v>
      </c>
      <c r="DI10" s="192">
        <f>IF(DL10=0,0,DL10)</f>
        <v>0</v>
      </c>
      <c r="DJ10" s="151" t="str">
        <f>IF(OR($DK10="",$DK10=0),"",$DK10)</f>
        <v/>
      </c>
      <c r="DK10" s="151" t="str">
        <f>AM10</f>
        <v/>
      </c>
      <c r="DL10" s="185">
        <f>IF(OR($DK10="",$DK10=0),0,IF(DK10=$DL$7,1,0))</f>
        <v>0</v>
      </c>
      <c r="DM10" s="184" t="str">
        <f>IF(OR($DK10="",$DK10=0),"",($DJ$7-DJ10))</f>
        <v/>
      </c>
      <c r="DN10" s="184" t="str">
        <f>IF(OR($DM10="",$DM10=0),"",$DM10)</f>
        <v/>
      </c>
      <c r="DO10" s="151" t="str">
        <f>IF(OR($DN10="",$DN10=0),"",IF(DN10=$DN$7,DK10,""))</f>
        <v/>
      </c>
      <c r="DP10" s="185">
        <f>IF(OR(DN10="",DN10=0),0,IF(DN10=$DN$7,1,0))</f>
        <v>0</v>
      </c>
      <c r="DQ10" s="194">
        <f>IF(DP10=0,0,SUM(DP$9:DP10))</f>
        <v>0</v>
      </c>
    </row>
    <row r="11" spans="1:121" ht="18" customHeight="1" thickTop="1" thickBot="1" x14ac:dyDescent="0.35">
      <c r="D11" s="679" t="s">
        <v>366</v>
      </c>
      <c r="E11" s="663"/>
      <c r="F11" s="663"/>
      <c r="G11" s="663"/>
      <c r="H11" s="677"/>
      <c r="I11" s="674" t="s">
        <v>360</v>
      </c>
      <c r="J11" s="669" t="str">
        <f>IF($K$17="x","kPa","mbar")</f>
        <v>mbar</v>
      </c>
      <c r="K11" s="920"/>
      <c r="L11" s="710">
        <f>IF(OR(K11="",K11=0),30*$AW$12,K11)</f>
        <v>30</v>
      </c>
      <c r="M11" s="664" t="str">
        <f>IF(OR(AND(K17="",L11=30),AND(K17="x",L11=3)),"Requisito aplicável em Portugal","Requisito fixado pelo utilizador")</f>
        <v>Requisito aplicável em Portugal</v>
      </c>
      <c r="N11" s="663"/>
      <c r="O11" s="663"/>
      <c r="P11" s="663"/>
      <c r="Q11" s="496"/>
      <c r="S11" s="1130" t="str">
        <f>IF(OR(AA11=0,AA11=""),"","A3")</f>
        <v/>
      </c>
      <c r="V11" s="490"/>
      <c r="X11" s="571"/>
      <c r="Y11" s="571"/>
      <c r="Z11" s="655">
        <v>11</v>
      </c>
      <c r="AA11" s="970">
        <f>IF($Z11=20,"",VLOOKUP($Z11,'Quadros 0 , 1 , 2 , 3 e 4'!$C$9:$G$27,5))</f>
        <v>0</v>
      </c>
      <c r="AB11" s="654" t="str">
        <f>IF(OR(AA11="",AA11=0,$L$6=0,$L$6=""),"",IF(AND(AC11=$DB$4,CY11=1),"Q1 =",IF(AND(AC11=$DB$4,CY11=2),"Q2 =",IF(AND(AC11=$DB$5,DG11=1),"Q2 =","Qi ="))))</f>
        <v/>
      </c>
      <c r="AC11" s="972" t="str">
        <f>IF(OR(AA11="",AA11=0,$L$6=0,$L$6=""),"",CEILING(((AA11*860)/$L$6)*(288/273),0.01))</f>
        <v/>
      </c>
      <c r="AD11" s="195" t="str">
        <f>IF(AB11="Q1 =","1.6",IF(AB11="Q2 =","1.7",""))</f>
        <v/>
      </c>
      <c r="AE11" s="756"/>
      <c r="AG11" s="1130" t="str">
        <f>IF(OR(AK11=0,AK11=""),"","A8")</f>
        <v/>
      </c>
      <c r="AH11" s="19"/>
      <c r="AJ11" s="655">
        <v>20</v>
      </c>
      <c r="AK11" s="970" t="str">
        <f>IF($AJ11=20,"",VLOOKUP($AJ11,'Quadros 0 , 1 , 2 , 3 e 4'!$C$9:$G$27,5))</f>
        <v/>
      </c>
      <c r="AL11" s="654" t="str">
        <f>IF(OR(AK11="",AK11=0,$L$6=0,$L$6=""),"",IF(AND(AM11=$DL$4,DI11=1),"Q1 =",IF(AND(AM11=$DL$4,DI11=2),"Q2 =",IF(AND(AM11=$DL$5,DQ11=1),"Q2 =","Qi ="))))</f>
        <v/>
      </c>
      <c r="AM11" s="972" t="str">
        <f>IF(OR(AK11="",AK11=0,$L$6=0,$L$6=""),"",CEILING(((AK11*860)/$L$6)*(288/273),0.01))</f>
        <v/>
      </c>
      <c r="AN11" s="692" t="str">
        <f>IF(AL11="Q1 =","1.6",IF(AL11="Q2 =","1.7",""))</f>
        <v/>
      </c>
      <c r="CY11" s="192">
        <f>IF(DB11=0,0,SUM(DB$9:DB11))</f>
        <v>0</v>
      </c>
      <c r="CZ11" s="151" t="str">
        <f>IF(OR($DA11="",$DA11=0),"",$DA11)</f>
        <v/>
      </c>
      <c r="DA11" s="151" t="str">
        <f>AC11</f>
        <v/>
      </c>
      <c r="DB11" s="185">
        <f>IF(OR($DA11="",$DA11=0),0,IF(DA11=$DB$7,1,0))</f>
        <v>0</v>
      </c>
      <c r="DC11" s="184" t="str">
        <f>IF(OR($DA11="",$DA11=0),"",($CZ$7-CZ11))</f>
        <v/>
      </c>
      <c r="DD11" s="184" t="str">
        <f>IF(OR($DC11="",$DC11=0),"",$DC11)</f>
        <v/>
      </c>
      <c r="DE11" s="151" t="str">
        <f>IF(OR($DD11="",$DD11=0),"",IF(DD11=$DD$7,DA11,""))</f>
        <v/>
      </c>
      <c r="DF11" s="185">
        <f>IF(OR(DD11="",DD11=0),0,IF(DD11=$DD$7,1,0))</f>
        <v>0</v>
      </c>
      <c r="DG11" s="194">
        <f>IF(DF11=0,0,SUM(DF$9:DF11))</f>
        <v>0</v>
      </c>
      <c r="DI11" s="192">
        <f>IF(DL11=0,0,DL11)</f>
        <v>0</v>
      </c>
      <c r="DJ11" s="151" t="str">
        <f>IF(OR($DK11="",$DK11=0),"",$DK11)</f>
        <v/>
      </c>
      <c r="DK11" s="151" t="str">
        <f>AM11</f>
        <v/>
      </c>
      <c r="DL11" s="185">
        <f>IF(OR($DK11="",$DK11=0),0,IF(DK11=$DL$7,1,0))</f>
        <v>0</v>
      </c>
      <c r="DM11" s="184" t="str">
        <f>IF(OR($DK11="",$DK11=0),"",($DJ$7-DJ11))</f>
        <v/>
      </c>
      <c r="DN11" s="184" t="str">
        <f>IF(OR($DM11="",$DM11=0),"",$DM11)</f>
        <v/>
      </c>
      <c r="DO11" s="151" t="str">
        <f>IF(OR($DN11="",$DN11=0),"",IF(DN11=$DN$7,DK11,""))</f>
        <v/>
      </c>
      <c r="DP11" s="185">
        <f>IF(OR(DN11="",DN11=0),0,IF(DN11=$DN$7,1,0))</f>
        <v>0</v>
      </c>
      <c r="DQ11" s="194">
        <f>IF(DP11=0,0,SUM(DP$9:DP11))</f>
        <v>0</v>
      </c>
    </row>
    <row r="12" spans="1:121" ht="18" customHeight="1" thickTop="1" thickBot="1" x14ac:dyDescent="0.35">
      <c r="D12" s="679" t="s">
        <v>367</v>
      </c>
      <c r="E12" s="663"/>
      <c r="F12" s="663"/>
      <c r="G12" s="663"/>
      <c r="H12" s="677"/>
      <c r="I12" s="675" t="s">
        <v>358</v>
      </c>
      <c r="J12" s="670" t="s">
        <v>60</v>
      </c>
      <c r="K12" s="920"/>
      <c r="L12" s="710">
        <f>IF(OR(K12="",K12=0),15,K12)</f>
        <v>15</v>
      </c>
      <c r="M12" s="664" t="str">
        <f>IF(L12=15,"Requisito aplicável em Portugal","Requisito fixado pelo utilizador")</f>
        <v>Requisito aplicável em Portugal</v>
      </c>
      <c r="N12" s="663"/>
      <c r="O12" s="663"/>
      <c r="P12" s="663"/>
      <c r="Q12" s="496"/>
      <c r="S12" s="1130" t="str">
        <f>IF(OR(AA12=0,AA12=""),"","A4")</f>
        <v/>
      </c>
      <c r="V12" s="86"/>
      <c r="X12" s="571"/>
      <c r="Y12" s="571"/>
      <c r="Z12" s="655">
        <v>12</v>
      </c>
      <c r="AA12" s="970">
        <f>IF($Z12=20,"",VLOOKUP($Z12,'Quadros 0 , 1 , 2 , 3 e 4'!$C$9:$G$27,5))</f>
        <v>0</v>
      </c>
      <c r="AB12" s="654" t="str">
        <f>IF(OR(AA12="",AA12=0,$L$6=0,$L$6=""),"",IF(AND(AC12=$DB$4,CY12=1),"Q1 =",IF(AND(AC12=$DB$4,CY12=2),"Q2 =",IF(AND(AC12=$DB$5,DG12=1),"Q2 =","Qi ="))))</f>
        <v/>
      </c>
      <c r="AC12" s="972" t="str">
        <f>IF(OR(AA12="",AA12=0,$L$6=0,$L$6=""),"",CEILING(((AA12*860)/$L$6)*(288/273),0.01))</f>
        <v/>
      </c>
      <c r="AD12" s="195" t="str">
        <f>IF(AB12="Q1 =","1.6",IF(AB12="Q2 =","1.7",""))</f>
        <v/>
      </c>
      <c r="AE12" s="756"/>
      <c r="AG12" s="1130" t="str">
        <f>IF(OR(AK12=0,AK12=""),"","A9")</f>
        <v/>
      </c>
      <c r="AH12" s="19"/>
      <c r="AJ12" s="655">
        <v>20</v>
      </c>
      <c r="AK12" s="970" t="str">
        <f>IF($AJ12=20,"",VLOOKUP($AJ12,'Quadros 0 , 1 , 2 , 3 e 4'!$C$9:$G$27,5))</f>
        <v/>
      </c>
      <c r="AL12" s="654" t="str">
        <f>IF(OR(AK12="",AK12=0,$L$6=0,$L$6=""),"",IF(AND(AM12=$DL$4,DI12=1),"Q1 =",IF(AND(AM12=$DL$4,DI12=2),"Q2 =",IF(AND(AM12=$DL$5,DQ12=1),"Q2 =","Qi ="))))</f>
        <v/>
      </c>
      <c r="AM12" s="972" t="str">
        <f>IF(OR(AK12="",AK12=0,$L$6=0,$L$6=""),"",CEILING(((AK12*860)/$L$6)*(288/273),0.01))</f>
        <v/>
      </c>
      <c r="AN12" s="692" t="str">
        <f>IF(AL12="Q1 =","1.6",IF(AL12="Q2 =","1.7",""))</f>
        <v/>
      </c>
      <c r="AW12" s="687">
        <f>IF(OR($K$17="x",$K$17="ok",$K$17="sim",$K$17="s"),0.1,1)</f>
        <v>1</v>
      </c>
      <c r="AX12" s="688" t="s">
        <v>326</v>
      </c>
      <c r="AY12" s="689"/>
      <c r="AZ12" s="690"/>
      <c r="BA12" s="690"/>
      <c r="CY12" s="192">
        <f>IF(DB12=0,0,SUM(DB$9:DB12))</f>
        <v>0</v>
      </c>
      <c r="CZ12" s="151" t="str">
        <f>IF(OR($DA12="",$DA12=0),"",$DA12)</f>
        <v/>
      </c>
      <c r="DA12" s="151" t="str">
        <f>AC12</f>
        <v/>
      </c>
      <c r="DB12" s="185">
        <f>IF(OR($DA12="",$DA12=0),0,IF(DA12=$DB$7,1,0))</f>
        <v>0</v>
      </c>
      <c r="DC12" s="184" t="str">
        <f>IF(OR($DA12="",$DA12=0),"",($CZ$7-CZ12))</f>
        <v/>
      </c>
      <c r="DD12" s="184" t="str">
        <f>IF(OR($DC12="",$DC12=0),"",$DC12)</f>
        <v/>
      </c>
      <c r="DE12" s="151" t="str">
        <f>IF(OR($DD12="",$DD12=0),"",IF(DD12=$DD$7,DA12,""))</f>
        <v/>
      </c>
      <c r="DF12" s="185">
        <f>IF(OR(DD12="",DD12=0),0,IF(DD12=$DD$7,1,0))</f>
        <v>0</v>
      </c>
      <c r="DG12" s="194">
        <f>IF(DF12=0,0,SUM(DF$9:DF12))</f>
        <v>0</v>
      </c>
      <c r="DI12" s="192">
        <f>IF(DL12=0,0,DL12)</f>
        <v>0</v>
      </c>
      <c r="DJ12" s="151" t="str">
        <f>IF(OR($DK12="",$DK12=0),"",$DK12)</f>
        <v/>
      </c>
      <c r="DK12" s="151" t="str">
        <f>AM12</f>
        <v/>
      </c>
      <c r="DL12" s="185">
        <f>IF(OR($DK12="",$DK12=0),0,IF(DK12=$DL$7,1,0))</f>
        <v>0</v>
      </c>
      <c r="DM12" s="184" t="str">
        <f>IF(OR($DK12="",$DK12=0),"",($DJ$7-DJ12))</f>
        <v/>
      </c>
      <c r="DN12" s="184" t="str">
        <f>IF(OR($DM12="",$DM12=0),"",$DM12)</f>
        <v/>
      </c>
      <c r="DO12" s="151" t="str">
        <f>IF(OR($DN12="",$DN12=0),"",IF(DN12=$DN$7,DK12,""))</f>
        <v/>
      </c>
      <c r="DP12" s="185">
        <f>IF(OR(DN12="",DN12=0),0,IF(DN12=$DN$7,1,0))</f>
        <v>0</v>
      </c>
      <c r="DQ12" s="194">
        <f>IF(DP12=0,0,SUM(DP$9:DP12))</f>
        <v>0</v>
      </c>
    </row>
    <row r="13" spans="1:121" ht="18" customHeight="1" thickTop="1" thickBot="1" x14ac:dyDescent="0.35">
      <c r="D13" s="678" t="s">
        <v>364</v>
      </c>
      <c r="E13" s="663"/>
      <c r="F13" s="663"/>
      <c r="G13" s="663"/>
      <c r="H13" s="677"/>
      <c r="I13" s="673" t="s">
        <v>343</v>
      </c>
      <c r="J13" s="669" t="s">
        <v>344</v>
      </c>
      <c r="K13" s="921"/>
      <c r="L13" s="633">
        <f>IF(K13&lt;&gt;"",K13,IF(SUM($L$30:$L$49)=0,0.2,0))</f>
        <v>0.2</v>
      </c>
      <c r="M13" s="664" t="str">
        <f>IF(L13=0.2,"Requisito aplicável em Portugal",IF(OR(L13="",L13=0),"Consultar Quadro 4","Requisito fixado pelo utilizador"))</f>
        <v>Requisito aplicável em Portugal</v>
      </c>
      <c r="N13" s="663"/>
      <c r="O13" s="663"/>
      <c r="P13" s="663"/>
      <c r="S13" s="1130" t="str">
        <f>IF(OR(AA13=0,AA13=""),"","A5")</f>
        <v/>
      </c>
      <c r="U13" s="651">
        <v>15</v>
      </c>
      <c r="V13" s="651">
        <v>16</v>
      </c>
      <c r="W13" s="651">
        <v>17</v>
      </c>
      <c r="X13" s="651">
        <v>18</v>
      </c>
      <c r="Y13" s="651">
        <v>19</v>
      </c>
      <c r="Z13" s="655">
        <v>13</v>
      </c>
      <c r="AA13" s="971">
        <f>IF($Z13=20,"",VLOOKUP($Z13,'Quadros 0 , 1 , 2 , 3 e 4'!$C$9:$G$27,5))</f>
        <v>0</v>
      </c>
      <c r="AB13" s="654" t="str">
        <f>IF(OR(AA13="",AA13=0,$L$6=0,$L$6=""),"",IF(AND(AC13=$DB$4,CY13=1),"Q1 =",IF(AND(AC13=$DB$4,CY13=2),"Q2 =",IF(AND(AC13=$DB$5,DG13=1),"Q2 =","Qi ="))))</f>
        <v/>
      </c>
      <c r="AC13" s="972" t="str">
        <f>IF(OR(AA13="",AA13=0,$L$6=0,$L$6=""),"",CEILING(((AA13*860)/$L$6)*(288/273),0.01))</f>
        <v/>
      </c>
      <c r="AD13" s="644" t="str">
        <f>IF(AB13="Q1 =","1.6",IF(AB13="Q2 =","1.7",""))</f>
        <v/>
      </c>
      <c r="AE13" s="756"/>
      <c r="AG13" s="1130" t="str">
        <f>IF(OR(AK13=0,AK13=""),"","A10")</f>
        <v/>
      </c>
      <c r="AH13" s="636"/>
      <c r="AJ13" s="655">
        <v>20</v>
      </c>
      <c r="AK13" s="971" t="str">
        <f>IF($AJ13=20,"",VLOOKUP($AJ13,'Quadros 0 , 1 , 2 , 3 e 4'!$C$9:$G$27,5))</f>
        <v/>
      </c>
      <c r="AL13" s="654" t="str">
        <f>IF(OR(AK13="",AK13=0,$L$6=0,$L$6=""),"",IF(AND(AM13=$DL$4,DI13=1),"Q1 =",IF(AND(AM13=$DL$4,DI13=2),"Q2 =",IF(AND(AM13=$DL$5,DQ13=1),"Q2 =","Qi ="))))</f>
        <v/>
      </c>
      <c r="AM13" s="972" t="str">
        <f>IF(OR(AK13="",AK13=0,$L$6=0,$L$6=""),"",CEILING(((AK13*860)/$L$6)*(288/273),0.01))</f>
        <v/>
      </c>
      <c r="AN13" s="693" t="str">
        <f>IF(AL13="Q1 =","1.6",IF(AL13="Q2 =","1.7",""))</f>
        <v/>
      </c>
      <c r="AW13" s="624">
        <f>IF(OR($K$18="x",$K$18="ok",$K$18="sim",$K$18="s"),AW14,AW15)</f>
        <v>48.6</v>
      </c>
      <c r="AX13" s="625" t="s">
        <v>329</v>
      </c>
      <c r="AY13" s="626"/>
      <c r="AZ13" s="627"/>
      <c r="BA13" s="627"/>
      <c r="CY13" s="192">
        <f>IF(DB13=0,0,SUM(DB$9:DB13))</f>
        <v>0</v>
      </c>
      <c r="CZ13" s="151" t="str">
        <f>IF(OR($DA13="",$DA13=0),"",$DA13)</f>
        <v/>
      </c>
      <c r="DA13" s="151" t="str">
        <f>AC13</f>
        <v/>
      </c>
      <c r="DB13" s="185">
        <f>IF(OR($DA13="",$DA13=0),0,IF(DA13=$DB$7,1,0))</f>
        <v>0</v>
      </c>
      <c r="DC13" s="184" t="str">
        <f>IF(OR($DA13="",$DA13=0),"",($CZ$7-CZ13))</f>
        <v/>
      </c>
      <c r="DD13" s="184" t="str">
        <f>IF(OR($DC13="",$DC13=0),"",$DC13)</f>
        <v/>
      </c>
      <c r="DE13" s="151" t="str">
        <f>IF(OR($DD13="",$DD13=0),"",IF(DD13=$DD$7,DA13,""))</f>
        <v/>
      </c>
      <c r="DF13" s="185">
        <f>IF(OR(DD13="",DD13=0),0,IF(DD13=$DD$7,1,0))</f>
        <v>0</v>
      </c>
      <c r="DG13" s="194">
        <f>IF(DF13=0,0,SUM(DF$9:DF13))</f>
        <v>0</v>
      </c>
      <c r="DI13" s="192">
        <f>IF(DL13=0,0,DL13)</f>
        <v>0</v>
      </c>
      <c r="DJ13" s="151" t="str">
        <f>IF(OR($DK13="",$DK13=0),"",$DK13)</f>
        <v/>
      </c>
      <c r="DK13" s="151" t="str">
        <f>AM13</f>
        <v/>
      </c>
      <c r="DL13" s="185">
        <f>IF(OR($DK13="",$DK13=0),0,IF(DK13=$DL$7,1,0))</f>
        <v>0</v>
      </c>
      <c r="DM13" s="184" t="str">
        <f>IF(OR($DK13="",$DK13=0),"",($DJ$7-DJ13))</f>
        <v/>
      </c>
      <c r="DN13" s="184" t="str">
        <f>IF(OR($DM13="",$DM13=0),"",$DM13)</f>
        <v/>
      </c>
      <c r="DO13" s="151" t="str">
        <f>IF(OR($DN13="",$DN13=0),"",IF(DN13=$DN$7,DK13,""))</f>
        <v/>
      </c>
      <c r="DP13" s="185">
        <f>IF(OR(DN13="",DN13=0),0,IF(DN13=$DN$7,1,0))</f>
        <v>0</v>
      </c>
      <c r="DQ13" s="194">
        <f>IF(DP13=0,0,SUM(DP$9:DP13))</f>
        <v>0</v>
      </c>
    </row>
    <row r="14" spans="1:121" ht="17.25" customHeight="1" thickTop="1" thickBot="1" x14ac:dyDescent="0.45">
      <c r="D14" s="679" t="s">
        <v>390</v>
      </c>
      <c r="E14" s="663"/>
      <c r="F14" s="663"/>
      <c r="G14" s="663"/>
      <c r="H14" s="677"/>
      <c r="I14" s="674" t="s">
        <v>359</v>
      </c>
      <c r="J14" s="670" t="str">
        <f>IF($K$17="x","kPa","mbar")</f>
        <v>mbar</v>
      </c>
      <c r="K14" s="919"/>
      <c r="L14" s="170">
        <f>IF(OR(K14="",K14=0),1013.25*$AW$12,K14)</f>
        <v>1013.25</v>
      </c>
      <c r="M14" s="664" t="str">
        <f>IF(OR(AND(K17="x",L14=101.325),AND(K17="",L14=1013.25)),"Ao nível do mar (cond. standard)","Valor fixado pelo utilizador")</f>
        <v>Ao nível do mar (cond. standard)</v>
      </c>
      <c r="N14" s="663"/>
      <c r="O14" s="663"/>
      <c r="P14" s="663"/>
      <c r="U14" s="646"/>
      <c r="V14" s="646"/>
      <c r="W14" s="646"/>
      <c r="X14" s="646"/>
      <c r="Y14" s="646"/>
      <c r="Z14" s="646"/>
      <c r="AA14" s="645" t="s">
        <v>300</v>
      </c>
      <c r="AB14" s="647"/>
      <c r="AC14" s="645" t="s">
        <v>369</v>
      </c>
      <c r="AG14" s="661"/>
      <c r="AH14" s="648"/>
      <c r="AI14" s="648"/>
      <c r="AJ14" s="648"/>
      <c r="AK14" s="645" t="s">
        <v>300</v>
      </c>
      <c r="AL14" s="647"/>
      <c r="AM14" s="645" t="s">
        <v>369</v>
      </c>
      <c r="AW14" s="619">
        <v>46.7</v>
      </c>
      <c r="AX14" s="620" t="s">
        <v>327</v>
      </c>
      <c r="AY14" s="621"/>
      <c r="AZ14" s="622"/>
      <c r="BA14" s="622"/>
    </row>
    <row r="15" spans="1:121" ht="16.5" customHeight="1" thickTop="1" thickBot="1" x14ac:dyDescent="0.35">
      <c r="F15" s="22"/>
      <c r="G15" s="661"/>
      <c r="H15" s="661"/>
      <c r="I15" s="632"/>
      <c r="J15" s="682" t="s">
        <v>485</v>
      </c>
      <c r="K15" s="922"/>
      <c r="L15" s="694" t="str">
        <f>IF(AND(OR($K$15="x",$K$15="sim",$K$15="s",$K$15="ok"),$I$5=1)," Concessionária: EDP Gás","")</f>
        <v/>
      </c>
      <c r="S15" s="30"/>
      <c r="V15" s="21"/>
      <c r="W15" s="650"/>
      <c r="X15" s="22"/>
      <c r="Y15" s="22"/>
      <c r="Z15" s="700" t="s">
        <v>374</v>
      </c>
      <c r="AA15" s="973">
        <f>IF(OR($AC$15="",AND($L$6="",$L$7="",$L$8="")),"",IF($AC$15=3.01,($AC$15*$L$6)/(860*(288/273)),SUM(AA9:AA13)))</f>
        <v>0</v>
      </c>
      <c r="AC15" s="973">
        <f>IF(OR($DD$4=0,AND($L$6="",$L$7="",$L$8="")),0,IF(($DD$4+$DD$5)&gt;=3.01,($DD$4+$DD$5),3.01))</f>
        <v>0</v>
      </c>
      <c r="AD15" s="701"/>
      <c r="AE15" s="757"/>
      <c r="AG15" s="650"/>
      <c r="AH15" s="662"/>
      <c r="AJ15" s="700" t="s">
        <v>375</v>
      </c>
      <c r="AK15" s="973">
        <f>IF(OR($AM$15="",AND($L$6="",$L$7="",$L$8="")),"",IF($AM$15=3.01,($AM$15*$L$6)/(860*(288/273)),SUM(AK9:AK13)))</f>
        <v>0</v>
      </c>
      <c r="AM15" s="973">
        <f>IF(OR($DN$4=0,AND($L$6="",$L$7="",$L$8="")),0,IF(($DN$4+$DN$5)&gt;=3.01,($DN$4+$DN$5),3.01))</f>
        <v>0</v>
      </c>
      <c r="AN15" s="701"/>
      <c r="AW15" s="619">
        <v>48.6</v>
      </c>
      <c r="AX15" s="620" t="s">
        <v>328</v>
      </c>
      <c r="AY15" s="621"/>
      <c r="AZ15" s="622"/>
      <c r="BA15" s="622"/>
    </row>
    <row r="16" spans="1:121" ht="16.5" customHeight="1" thickTop="1" thickBot="1" x14ac:dyDescent="0.35">
      <c r="D16" s="663"/>
      <c r="E16" s="663"/>
      <c r="F16" s="663"/>
      <c r="G16" s="663"/>
      <c r="H16" s="663"/>
      <c r="I16" s="663"/>
      <c r="J16" s="683" t="s">
        <v>362</v>
      </c>
      <c r="K16" s="923"/>
      <c r="L16" s="664" t="str">
        <f>IF(OR($K$16="x",$K$16="sim",$K$16="s",$K$16="ok")," Contempla aquecimento ambiente"," Não contempla aquecimento ambiente")</f>
        <v xml:space="preserve"> Não contempla aquecimento ambiente</v>
      </c>
      <c r="M16" s="663"/>
      <c r="N16" s="663"/>
      <c r="O16" s="663"/>
      <c r="P16" s="698"/>
      <c r="Q16" s="31"/>
      <c r="X16" s="153"/>
      <c r="Y16" s="153"/>
      <c r="AA16" s="650"/>
      <c r="AG16" s="661"/>
      <c r="AJ16" s="28"/>
      <c r="AK16" s="32"/>
      <c r="AW16" s="629">
        <f>IF(OR($K$18="x",$K$18="ok",$K$18="sim",$K$18="s"),AW17,AW18)</f>
        <v>0.1293</v>
      </c>
      <c r="AX16" s="625" t="s">
        <v>330</v>
      </c>
      <c r="AY16" s="626"/>
      <c r="AZ16" s="627"/>
      <c r="BA16" s="627"/>
      <c r="BB16" s="627"/>
      <c r="BC16" s="627"/>
      <c r="BD16" s="627"/>
    </row>
    <row r="17" spans="1:255" ht="16.5" customHeight="1" thickTop="1" thickBot="1" x14ac:dyDescent="0.35">
      <c r="D17" s="663"/>
      <c r="E17" s="663"/>
      <c r="F17" s="684"/>
      <c r="G17" s="685"/>
      <c r="H17" s="663"/>
      <c r="I17" s="663"/>
      <c r="J17" s="683" t="s">
        <v>365</v>
      </c>
      <c r="K17" s="919"/>
      <c r="L17" s="695" t="str">
        <f>IF(OR($K$17="x",$K$17="sim",$K$17="s",$K$17="ok")," Pressões expressas em kPa","")</f>
        <v/>
      </c>
      <c r="M17" s="663"/>
      <c r="N17" s="663"/>
      <c r="O17" s="663"/>
      <c r="P17" s="663"/>
      <c r="U17" s="703" t="s">
        <v>371</v>
      </c>
      <c r="V17" s="704"/>
      <c r="W17" s="704"/>
      <c r="X17" s="680"/>
      <c r="Y17" s="680"/>
      <c r="Z17" s="702"/>
      <c r="AA17" s="159" t="s">
        <v>388</v>
      </c>
      <c r="AB17" s="404" t="s">
        <v>27</v>
      </c>
      <c r="AC17" s="974" t="str">
        <f>IF(OR($CY$29="",$CY$29=0),"",$CY$29)</f>
        <v/>
      </c>
      <c r="AI17" s="161"/>
      <c r="AJ17" s="161"/>
      <c r="AK17" s="162"/>
      <c r="AW17" s="628">
        <v>0.1202</v>
      </c>
      <c r="AX17" s="620" t="s">
        <v>331</v>
      </c>
      <c r="AY17" s="621"/>
      <c r="AZ17" s="622"/>
      <c r="BA17" s="622"/>
      <c r="BB17" s="622"/>
      <c r="BC17" s="622"/>
      <c r="BD17" s="622"/>
      <c r="BS17" s="254" t="s">
        <v>256</v>
      </c>
      <c r="BT17" s="232"/>
      <c r="BU17" s="232"/>
      <c r="BV17" s="232"/>
      <c r="BW17" s="232"/>
      <c r="BX17" s="232"/>
      <c r="BY17" s="232"/>
      <c r="BZ17" s="232"/>
      <c r="CA17" s="232"/>
      <c r="CB17" s="232"/>
      <c r="CC17" s="232"/>
      <c r="CD17" s="232"/>
      <c r="CE17" s="232"/>
      <c r="CF17" s="232"/>
      <c r="CG17" s="232"/>
      <c r="CH17" s="232"/>
      <c r="CI17" s="232"/>
      <c r="CJ17" s="232"/>
      <c r="CK17" s="232"/>
      <c r="CL17" s="232"/>
      <c r="CM17" s="232"/>
      <c r="CN17" s="232"/>
      <c r="CO17" s="232"/>
      <c r="CP17" s="233"/>
      <c r="DC17" s="64"/>
    </row>
    <row r="18" spans="1:255" ht="16.5" customHeight="1" thickTop="1" thickBot="1" x14ac:dyDescent="0.35">
      <c r="D18" s="663"/>
      <c r="E18" s="663"/>
      <c r="F18" s="663"/>
      <c r="G18" s="663"/>
      <c r="H18" s="663"/>
      <c r="I18" s="665"/>
      <c r="J18" s="683" t="s">
        <v>363</v>
      </c>
      <c r="K18" s="919"/>
      <c r="L18" s="664" t="str">
        <f>IF(OR($K$18="x",$K$18="sim",$K$18="s",$K$18="ok")," Consultar formulário nos procedimentos","")</f>
        <v/>
      </c>
      <c r="M18" s="663"/>
      <c r="N18" s="663"/>
      <c r="O18" s="677"/>
      <c r="P18" s="663"/>
      <c r="S18" s="86"/>
      <c r="T18" s="32"/>
      <c r="U18" s="678" t="s">
        <v>372</v>
      </c>
      <c r="V18" s="663"/>
      <c r="W18" s="663"/>
      <c r="X18" s="663"/>
      <c r="Y18" s="663"/>
      <c r="Z18" s="677"/>
      <c r="AA18" s="159" t="s">
        <v>389</v>
      </c>
      <c r="AB18" s="404" t="s">
        <v>27</v>
      </c>
      <c r="AC18" s="974" t="str">
        <f>IF(AC17="","",AC17*1.2)</f>
        <v/>
      </c>
      <c r="AG18" s="32"/>
      <c r="AH18" s="86"/>
      <c r="AI18" s="86"/>
      <c r="AJ18" s="823"/>
      <c r="AK18" s="823"/>
      <c r="AL18" s="823"/>
      <c r="AM18" s="823"/>
      <c r="AW18" s="628">
        <v>0.1293</v>
      </c>
      <c r="AX18" s="620" t="s">
        <v>332</v>
      </c>
      <c r="AY18" s="621"/>
      <c r="AZ18" s="622"/>
      <c r="BA18" s="622"/>
      <c r="BB18" s="622"/>
      <c r="BC18" s="622"/>
      <c r="BD18" s="622"/>
      <c r="BS18" s="255"/>
    </row>
    <row r="19" spans="1:255" ht="15.75" customHeight="1" thickTop="1" thickBot="1" x14ac:dyDescent="0.35">
      <c r="D19" s="916" t="str">
        <f>IF(OR($K$19="x",$K$19="sim",$K$19="s",$K$19="ok"),"x","")</f>
        <v/>
      </c>
      <c r="E19" s="663"/>
      <c r="F19" s="663"/>
      <c r="G19" s="663"/>
      <c r="H19" s="663"/>
      <c r="I19" s="665"/>
      <c r="J19" s="683" t="s">
        <v>506</v>
      </c>
      <c r="K19" s="924"/>
      <c r="L19" s="664" t="str">
        <f>IF(OR($K$19="x",$K$19="sim",$K$19="s",$K$19="ok")," Análise sem coeficientes de simultaneidade","")</f>
        <v/>
      </c>
      <c r="M19" s="663"/>
      <c r="N19" s="663"/>
      <c r="O19" s="677"/>
      <c r="P19" s="663"/>
      <c r="U19" s="678" t="s">
        <v>373</v>
      </c>
      <c r="V19" s="663"/>
      <c r="W19" s="663"/>
      <c r="X19" s="663"/>
      <c r="Y19" s="663"/>
      <c r="Z19" s="677"/>
      <c r="AA19" s="754" t="s">
        <v>370</v>
      </c>
      <c r="AB19" s="827" t="str">
        <f>IF('Cálculo-Instalação Colectiva-MP'!$K$17="x","kPa2/m","mbar2/m")</f>
        <v>mbar2/m</v>
      </c>
      <c r="AC19" s="975" t="str">
        <f>IF(OR($AC$18="",$BW$20="",$BW$20=0,$AV$29&gt;=2,AND($AC$15="",$AM$15=""),AND($L$6="",$L$7="",$L$8="")),"",(($AW$10+$L$14)^2-(($AW$10-$L$11)+$L$14)^2)/$AC$18)</f>
        <v/>
      </c>
      <c r="AH19" s="1170" t="str">
        <f>IF(OR(AA15&lt;&gt;0,AK15&lt;&gt;0),"Avaliação global:","")</f>
        <v/>
      </c>
      <c r="AI19" s="1171"/>
      <c r="AJ19" s="1172" t="str">
        <f>IF(OR(J26="Erro: L não pode ser inferior a h",'Cálculo-Instalação Interior-BP'!M22="Erro: L não pode ser inferior a h",AND(AU29&gt;0,AU29&lt;100),AND('Cálculo-Instalação Interior-BP'!AV25&gt;0,'Cálculo-Instalação Interior-BP'!AV25&lt;100)),"Verificar Não Conformidades",IF(OR(AU29&gt;=100,'Cálculo-Instalação Interior-BP'!AV25&gt;=100),"Introdução de dados em curso",IF(AND(OR(AA15&lt;&gt;"",AK15&lt;&gt;""),SUM(E30:E49,'Cálculo-Instalação Interior-BP'!C26:C35,'Cálculo-Instalação Interior-BP'!C47:C56)&gt;0,AU29=0,'Cálculo-Instalação Interior-BP'!AV25=0),"Dimensionamento Conforme","")))</f>
        <v/>
      </c>
      <c r="AK19" s="1173"/>
      <c r="AL19" s="1173"/>
      <c r="AM19" s="1173"/>
      <c r="AN19" s="1174"/>
      <c r="BS19" s="255"/>
    </row>
    <row r="20" spans="1:255" ht="5.25" customHeight="1" thickTop="1" thickBot="1" x14ac:dyDescent="0.35">
      <c r="U20" s="705"/>
      <c r="W20" s="706"/>
      <c r="X20" s="569"/>
      <c r="Y20" s="569"/>
      <c r="BS20" s="256"/>
      <c r="BW20" s="245">
        <f>IF(MAX(BW27:CP27)=MIN(BW27:CP27),$CF$20,IF(OR($CC20="erro",$CC21="erro",$CC22="erro"),"",$BX$20))</f>
        <v>0</v>
      </c>
      <c r="BX20" s="262" t="str">
        <f>IF(BY20&lt;&gt;"",BY20,IF(BY21&lt;&gt;"",BY21,IF(BY22&lt;&gt;"",BY22,"")))</f>
        <v/>
      </c>
      <c r="BY20" s="244" t="str">
        <f>IF(BZ20&lt;&gt;"",BZ20,IF(CA20&lt;&gt;"",CA20,IF(CB20&lt;&gt;"",CB20,"")))</f>
        <v/>
      </c>
      <c r="BZ20" s="243" t="str">
        <f>IF(BW24&lt;&gt;"",BW24,IF(BX24&lt;&gt;"",BX24,IF(BY24&lt;&gt;"",BY24,IF(BZ24&lt;&gt;"",BZ24,IF(CA24&lt;&gt;"",CA24,IF(CB24&lt;&gt;"",CB24,IF(CC24&lt;&gt;"",CC24,"")))))))</f>
        <v/>
      </c>
      <c r="CA20" s="243" t="str">
        <f>IF(CD24&lt;&gt;"",CD24,IF(CE24&lt;&gt;"",CE24,IF(CF24&lt;&gt;"",CF24,IF(CG24&lt;&gt;"",CG24,IF(CH24&lt;&gt;"",CH24,IF(CI24&lt;&gt;"",CI24,IF(CJ24&lt;&gt;"",CJ24,"")))))))</f>
        <v/>
      </c>
      <c r="CB20" s="243" t="str">
        <f>IF(CK24&lt;&gt;"",CK24,IF(CL24&lt;&gt;"",CL24,IF(CM24&lt;&gt;"",CM24,IF(CN24&lt;&gt;"",CN24,IF(CO24&lt;&gt;"",CO24,IF(CP24&lt;&gt;"",CP24,""))))))</f>
        <v/>
      </c>
      <c r="CC20" s="261" t="str">
        <f>IF($BX$20=$G30,"erro",IF($BX$20=$G31,"erro",IF($BX$20=$G32,"erro",IF($BX$20=$G33,"erro",IF($BX$20=$G34,"erro",IF($BX$20=$G35,"erro",IF($BX$20=$G36,"erro","")))))))</f>
        <v>erro</v>
      </c>
      <c r="CE20" s="340">
        <f>IF($BX$20=$G30,$F30,IF($BX$20=$G31,$F31,IF($BX$20=$G32,$F32,IF($BX$20=$G33,$F33,IF($BX$20=$G34,$F34,IF($BX$20=$G35,$F35,IF($BX$20=$G36,$F36,"")))))))</f>
        <v>0</v>
      </c>
      <c r="CF20" s="340">
        <f>IF(CE20&lt;&gt;"",CE20,IF(CE21&lt;&gt;"",CE21,IF(CE22&lt;&gt;"",CE22,"")))</f>
        <v>0</v>
      </c>
    </row>
    <row r="21" spans="1:255" ht="13.3" hidden="1" thickTop="1" thickBot="1" x14ac:dyDescent="0.35">
      <c r="D21" s="22"/>
      <c r="E21" s="22"/>
      <c r="F21" s="22"/>
      <c r="G21" s="22"/>
      <c r="U21" s="707"/>
      <c r="BS21" s="256"/>
      <c r="BY21" s="244" t="str">
        <f>IF(BZ21&lt;&gt;"",BZ21,IF(CA21&lt;&gt;"",CA21,IF(CB21&lt;&gt;"",CB21,"")))</f>
        <v/>
      </c>
      <c r="BZ21" s="243" t="str">
        <f>IF(BW25&lt;&gt;"",BW25,IF(BX25&lt;&gt;"",BX25,IF(BY25&lt;&gt;"",BY25,IF(BZ25&lt;&gt;"",BZ25,IF(CA25&lt;&gt;"",CA25,IF(CB25&lt;&gt;"",CB25,IF(CC25&lt;&gt;"",CC25,"")))))))</f>
        <v/>
      </c>
      <c r="CA21" s="243" t="str">
        <f>IF(CD25&lt;&gt;"",CD25,IF(CE25&lt;&gt;"",CE25,IF(CF25&lt;&gt;"",CF25,IF(CG25&lt;&gt;"",CG25,IF(CH25&lt;&gt;"",CH25,IF(CI25&lt;&gt;"",CI25,IF(CJ25&lt;&gt;"",CJ25,"")))))))</f>
        <v/>
      </c>
      <c r="CB21" s="243" t="str">
        <f>IF(CK25&lt;&gt;"",CK25,IF(CL25&lt;&gt;"",CL25,IF(CM25&lt;&gt;"",CM25,IF(CN25&lt;&gt;"",CN25,IF(CO25&lt;&gt;"",CO25,IF(CP25&lt;&gt;"",CP25,""))))))</f>
        <v/>
      </c>
      <c r="CC21" s="261" t="str">
        <f>IF($BX$20=$G37,"erro",IF($BX$20=$G38,"erro",IF($BX$20=$G39,"erro",IF($BX$20=$G40,"erro",IF($BX$20=$G41,"erro",IF($BX$20=$G42,"erro",IF($BX$20=$G43,"erro","")))))))</f>
        <v>erro</v>
      </c>
      <c r="CE21" s="340">
        <f>IF($BX$20=$G37,$F37,IF($BX$20=$G38,$F38,IF($BX$20=$G39,$F39,IF($BX$20=$G40,$F40,IF($BX$20=$G41,$F41,IF($BX$20=$G42,$F42,IF($BX$20=$G43,$F43,"")))))))</f>
        <v>0</v>
      </c>
    </row>
    <row r="22" spans="1:255" ht="13.3" hidden="1" thickTop="1" thickBot="1" x14ac:dyDescent="0.35">
      <c r="D22" s="22"/>
      <c r="E22" s="22"/>
      <c r="F22" s="22"/>
      <c r="G22" s="22"/>
      <c r="U22" s="417"/>
      <c r="BS22" s="256"/>
      <c r="BY22" s="244" t="str">
        <f>IF(BZ22&lt;&gt;"",BZ22,IF(CA22&lt;&gt;"",CA22,IF(CB22&lt;&gt;"",CB22,"")))</f>
        <v/>
      </c>
      <c r="BZ22" s="243" t="str">
        <f>IF(BW26&lt;&gt;"",BW26,IF(BX26&lt;&gt;"",BX26,IF(BY26&lt;&gt;"",BY26,IF(BZ26&lt;&gt;"",BZ26,IF(CA26&lt;&gt;"",CA26,IF(CB26&lt;&gt;"",CB26,IF(CC26&lt;&gt;"",CC26,"")))))))</f>
        <v/>
      </c>
      <c r="CA22" s="243" t="str">
        <f>IF(CD26&lt;&gt;"",CD26,IF(CE26&lt;&gt;"",CE26,IF(CF26&lt;&gt;"",CF26,IF(CG26&lt;&gt;"",CG26,IF(CH26&lt;&gt;"",CH26,IF(CI26&lt;&gt;"",CI26,IF(CJ26&lt;&gt;"",CJ26,"")))))))</f>
        <v/>
      </c>
      <c r="CB22" s="243" t="str">
        <f>IF(CK26&lt;&gt;"",CK26,IF(CL26&lt;&gt;"",CL26,IF(CM26&lt;&gt;"",CM26,IF(CN26&lt;&gt;"",CN26,IF(CO26&lt;&gt;"",CO26,IF(CP26&lt;&gt;"",CP26,""))))))</f>
        <v/>
      </c>
      <c r="CC22" s="261" t="str">
        <f>IF($BX$20=$G44,"erro",IF($BX$20=$G45,"erro",IF($BX$20=$G46,"erro",IF($BX$20=$G47,"erro",IF($BX$20=$G48,"erro",IF($BX$20=$G49,"erro",""))))))</f>
        <v>erro</v>
      </c>
      <c r="CE22" s="340">
        <f>IF($BX$20=$G44,$F44,IF($BX$20=$G45,$F45,IF($BX$20=$G46,$F46,IF($BX$20=$G47,$F47,IF($BX$20=$G48,$F48,IF($BX$20=$G49,$F49,""))))))</f>
        <v>0</v>
      </c>
    </row>
    <row r="23" spans="1:255" ht="13.3" hidden="1" thickTop="1" thickBot="1" x14ac:dyDescent="0.35">
      <c r="D23" s="364"/>
      <c r="BS23" s="256"/>
    </row>
    <row r="24" spans="1:255" s="34" customFormat="1" ht="13.3" thickTop="1" thickBot="1" x14ac:dyDescent="0.35">
      <c r="C24" s="366"/>
      <c r="D24" s="365"/>
      <c r="E24" s="367">
        <v>1</v>
      </c>
      <c r="F24" s="367">
        <v>2</v>
      </c>
      <c r="G24" s="367">
        <v>3</v>
      </c>
      <c r="H24" s="367">
        <v>4</v>
      </c>
      <c r="I24" s="367">
        <v>5</v>
      </c>
      <c r="J24" s="367">
        <v>6</v>
      </c>
      <c r="K24" s="367">
        <v>7</v>
      </c>
      <c r="L24" s="367">
        <v>8</v>
      </c>
      <c r="M24" s="367">
        <v>9</v>
      </c>
      <c r="N24" s="367">
        <v>10</v>
      </c>
      <c r="O24" s="367"/>
      <c r="P24" s="367">
        <v>11</v>
      </c>
      <c r="Q24" s="367"/>
      <c r="R24" s="367"/>
      <c r="S24" s="367">
        <v>12</v>
      </c>
      <c r="T24" s="367">
        <v>9</v>
      </c>
      <c r="U24" s="367">
        <v>13</v>
      </c>
      <c r="V24" s="367">
        <v>11</v>
      </c>
      <c r="W24" s="367">
        <v>14</v>
      </c>
      <c r="X24" s="367"/>
      <c r="Y24" s="367"/>
      <c r="Z24" s="367">
        <v>15</v>
      </c>
      <c r="AA24" s="367">
        <v>16</v>
      </c>
      <c r="AB24" s="367">
        <v>17</v>
      </c>
      <c r="AC24" s="367">
        <v>18</v>
      </c>
      <c r="AD24" s="1180">
        <v>19</v>
      </c>
      <c r="AE24" s="1180"/>
      <c r="AF24" s="367">
        <v>20</v>
      </c>
      <c r="AG24" s="367">
        <v>21</v>
      </c>
      <c r="AH24" s="367">
        <v>22</v>
      </c>
      <c r="AI24" s="367">
        <v>23</v>
      </c>
      <c r="AJ24" s="1180">
        <v>24</v>
      </c>
      <c r="AK24" s="1181"/>
      <c r="AL24" s="367">
        <v>25</v>
      </c>
      <c r="AM24" s="1158">
        <v>26</v>
      </c>
      <c r="AN24" s="1159"/>
      <c r="AO24" s="1136"/>
      <c r="AP24" s="15"/>
      <c r="AQ24" s="367">
        <v>27</v>
      </c>
      <c r="AR24" s="15"/>
      <c r="AV24" s="254" t="s">
        <v>276</v>
      </c>
      <c r="AW24" s="351"/>
      <c r="AX24" s="352"/>
      <c r="AY24" s="352"/>
      <c r="AZ24" s="352"/>
      <c r="BA24" s="352"/>
      <c r="BB24" s="2"/>
      <c r="BS24" s="257"/>
      <c r="BW24" s="243" t="str">
        <f t="shared" ref="BW24:CP24" si="0">IF(AND(BW$27=$BV$27,BW$30&lt;&gt;""),BW$30,IF(AND(BW$27=$BV$27,BW$31&lt;&gt;""),BW$31,IF(AND(BW$27=$BV$27,BW$32&lt;&gt;""),BW$32,IF(AND(BW$27=$BV$27,BW$33&lt;&gt;""),BW$33,IF(AND(BW$27=$BV$27,BW$34&lt;&gt;""),BW$34,IF(AND(BW$27=$BV$27,BW$35&lt;&gt;""),BW$35,IF(AND(BW$27=$BV$27,BW$36&lt;&gt;""),BW$36,"")))))))</f>
        <v/>
      </c>
      <c r="BX24" s="243" t="str">
        <f t="shared" si="0"/>
        <v/>
      </c>
      <c r="BY24" s="243" t="str">
        <f t="shared" si="0"/>
        <v/>
      </c>
      <c r="BZ24" s="243" t="str">
        <f t="shared" si="0"/>
        <v/>
      </c>
      <c r="CA24" s="243" t="str">
        <f t="shared" si="0"/>
        <v/>
      </c>
      <c r="CB24" s="243" t="str">
        <f t="shared" si="0"/>
        <v/>
      </c>
      <c r="CC24" s="243" t="str">
        <f t="shared" si="0"/>
        <v/>
      </c>
      <c r="CD24" s="243" t="str">
        <f t="shared" si="0"/>
        <v/>
      </c>
      <c r="CE24" s="243" t="str">
        <f t="shared" si="0"/>
        <v/>
      </c>
      <c r="CF24" s="243" t="str">
        <f t="shared" si="0"/>
        <v/>
      </c>
      <c r="CG24" s="243" t="str">
        <f t="shared" si="0"/>
        <v/>
      </c>
      <c r="CH24" s="243" t="str">
        <f t="shared" si="0"/>
        <v/>
      </c>
      <c r="CI24" s="243" t="str">
        <f t="shared" si="0"/>
        <v/>
      </c>
      <c r="CJ24" s="243" t="str">
        <f t="shared" si="0"/>
        <v/>
      </c>
      <c r="CK24" s="243" t="str">
        <f t="shared" si="0"/>
        <v/>
      </c>
      <c r="CL24" s="243" t="str">
        <f t="shared" si="0"/>
        <v/>
      </c>
      <c r="CM24" s="243" t="str">
        <f t="shared" si="0"/>
        <v/>
      </c>
      <c r="CN24" s="243" t="str">
        <f t="shared" si="0"/>
        <v/>
      </c>
      <c r="CO24" s="243" t="str">
        <f t="shared" si="0"/>
        <v/>
      </c>
      <c r="CP24" s="243" t="str">
        <f t="shared" si="0"/>
        <v/>
      </c>
      <c r="CQ24" s="2"/>
    </row>
    <row r="25" spans="1:255" s="36" customFormat="1" ht="19.5" customHeight="1" thickTop="1" thickBot="1" x14ac:dyDescent="0.35">
      <c r="B25" s="996"/>
      <c r="C25" s="997"/>
      <c r="D25" s="997"/>
      <c r="E25" s="998"/>
      <c r="F25" s="1164" t="s">
        <v>115</v>
      </c>
      <c r="G25" s="1164"/>
      <c r="H25" s="1164" t="s">
        <v>78</v>
      </c>
      <c r="I25" s="1164"/>
      <c r="J25" s="999" t="s">
        <v>93</v>
      </c>
      <c r="K25" s="999" t="s">
        <v>43</v>
      </c>
      <c r="L25" s="999" t="s">
        <v>342</v>
      </c>
      <c r="M25" s="1164" t="s">
        <v>470</v>
      </c>
      <c r="N25" s="1166"/>
      <c r="O25" s="1166"/>
      <c r="P25" s="1166"/>
      <c r="Q25" s="1000"/>
      <c r="R25" s="1000"/>
      <c r="S25" s="999"/>
      <c r="T25" s="1001" t="s">
        <v>99</v>
      </c>
      <c r="U25" s="999"/>
      <c r="V25" s="999"/>
      <c r="W25" s="999" t="s">
        <v>100</v>
      </c>
      <c r="X25" s="999"/>
      <c r="Y25" s="999"/>
      <c r="Z25" s="1164" t="s">
        <v>404</v>
      </c>
      <c r="AA25" s="1164"/>
      <c r="AB25" s="1164"/>
      <c r="AC25" s="999" t="s">
        <v>101</v>
      </c>
      <c r="AD25" s="1164" t="s">
        <v>102</v>
      </c>
      <c r="AE25" s="1164"/>
      <c r="AF25" s="999" t="s">
        <v>103</v>
      </c>
      <c r="AG25" s="999" t="s">
        <v>106</v>
      </c>
      <c r="AH25" s="999" t="s">
        <v>104</v>
      </c>
      <c r="AI25" s="998" t="str">
        <f>IF($K$15="","9.2","9.3")</f>
        <v>9.2</v>
      </c>
      <c r="AJ25" s="1164" t="s">
        <v>105</v>
      </c>
      <c r="AK25" s="1165"/>
      <c r="AL25" s="999" t="s">
        <v>107</v>
      </c>
      <c r="AM25" s="1164" t="s">
        <v>108</v>
      </c>
      <c r="AN25" s="1165"/>
      <c r="AO25" s="1166"/>
      <c r="AP25" s="998"/>
      <c r="AQ25" s="998"/>
      <c r="AR25" s="1002"/>
      <c r="AV25" s="255"/>
      <c r="BL25" s="34" t="s">
        <v>505</v>
      </c>
      <c r="BS25" s="258"/>
      <c r="BV25" s="34"/>
      <c r="BW25" s="243" t="str">
        <f t="shared" ref="BW25:CP25" si="1">IF(AND(BW$27=$BV$27,BW$37&lt;&gt;""),BW$37,IF(AND(BW$27=$BV$27,BW$38&lt;&gt;""),BW$38,IF(AND(BW$27=$BV$27,BW$39&lt;&gt;""),BW$39,IF(AND(BW$27=$BV$27,BW$40&lt;&gt;""),BW$40,IF(AND(BW$27=$BV$27,BW$41&lt;&gt;""),BW$41,IF(AND(BW$27=$BV$27,BW$42&lt;&gt;""),BW$42,IF(AND(BW$27=$BV$27,BW$43&lt;&gt;""),BW$43,"")))))))</f>
        <v/>
      </c>
      <c r="BX25" s="243" t="str">
        <f t="shared" si="1"/>
        <v/>
      </c>
      <c r="BY25" s="243" t="str">
        <f t="shared" si="1"/>
        <v/>
      </c>
      <c r="BZ25" s="243" t="str">
        <f t="shared" si="1"/>
        <v/>
      </c>
      <c r="CA25" s="243" t="str">
        <f t="shared" si="1"/>
        <v/>
      </c>
      <c r="CB25" s="243" t="str">
        <f t="shared" si="1"/>
        <v/>
      </c>
      <c r="CC25" s="243" t="str">
        <f t="shared" si="1"/>
        <v/>
      </c>
      <c r="CD25" s="243" t="str">
        <f t="shared" si="1"/>
        <v/>
      </c>
      <c r="CE25" s="243" t="str">
        <f t="shared" si="1"/>
        <v/>
      </c>
      <c r="CF25" s="243" t="str">
        <f t="shared" si="1"/>
        <v/>
      </c>
      <c r="CG25" s="243" t="str">
        <f t="shared" si="1"/>
        <v/>
      </c>
      <c r="CH25" s="243" t="str">
        <f t="shared" si="1"/>
        <v/>
      </c>
      <c r="CI25" s="243" t="str">
        <f t="shared" si="1"/>
        <v/>
      </c>
      <c r="CJ25" s="243" t="str">
        <f t="shared" si="1"/>
        <v/>
      </c>
      <c r="CK25" s="243" t="str">
        <f t="shared" si="1"/>
        <v/>
      </c>
      <c r="CL25" s="243" t="str">
        <f t="shared" si="1"/>
        <v/>
      </c>
      <c r="CM25" s="243" t="str">
        <f t="shared" si="1"/>
        <v/>
      </c>
      <c r="CN25" s="243" t="str">
        <f t="shared" si="1"/>
        <v/>
      </c>
      <c r="CO25" s="243" t="str">
        <f t="shared" si="1"/>
        <v/>
      </c>
      <c r="CP25" s="243" t="str">
        <f t="shared" si="1"/>
        <v/>
      </c>
      <c r="CQ25" s="2"/>
    </row>
    <row r="26" spans="1:255" s="16" customFormat="1" ht="18" customHeight="1" thickTop="1" thickBot="1" x14ac:dyDescent="0.35">
      <c r="D26" s="369"/>
      <c r="E26" s="1177" t="s">
        <v>75</v>
      </c>
      <c r="F26" s="1178"/>
      <c r="G26" s="1179"/>
      <c r="H26" s="1141" t="s">
        <v>73</v>
      </c>
      <c r="I26" s="1183"/>
      <c r="J26" s="1141" t="str">
        <f>IF(A29&gt;=1,"Erro: L não pode ser inferior a h","Comprimentos dos troços")</f>
        <v>Comprimentos dos troços</v>
      </c>
      <c r="K26" s="1143"/>
      <c r="L26" s="1143"/>
      <c r="M26" s="1182"/>
      <c r="N26" s="1022" t="s">
        <v>111</v>
      </c>
      <c r="O26" s="1023"/>
      <c r="P26" s="1024" t="s">
        <v>42</v>
      </c>
      <c r="Q26" s="1025"/>
      <c r="R26" s="1025"/>
      <c r="S26" s="1024" t="s">
        <v>68</v>
      </c>
      <c r="T26" s="1022" t="s">
        <v>72</v>
      </c>
      <c r="U26" s="1142" t="s">
        <v>72</v>
      </c>
      <c r="V26" s="1186"/>
      <c r="W26" s="1186"/>
      <c r="X26" s="1186"/>
      <c r="Y26" s="1186"/>
      <c r="Z26" s="1186"/>
      <c r="AA26" s="1186"/>
      <c r="AB26" s="1187"/>
      <c r="AC26" s="1141" t="s">
        <v>77</v>
      </c>
      <c r="AD26" s="1142"/>
      <c r="AE26" s="1142"/>
      <c r="AF26" s="1142"/>
      <c r="AG26" s="1183"/>
      <c r="AH26" s="1141" t="s">
        <v>215</v>
      </c>
      <c r="AI26" s="1184"/>
      <c r="AJ26" s="1184"/>
      <c r="AK26" s="1185"/>
      <c r="AL26" s="1141" t="s">
        <v>50</v>
      </c>
      <c r="AM26" s="1142"/>
      <c r="AN26" s="1143"/>
      <c r="AO26" s="1144"/>
      <c r="AP26" s="17"/>
      <c r="AQ26" s="1052" t="s">
        <v>469</v>
      </c>
      <c r="AR26" s="17"/>
      <c r="AV26" s="255"/>
      <c r="AZ26" s="237"/>
      <c r="BA26" s="2"/>
      <c r="BB26" s="2"/>
      <c r="BC26" s="2"/>
      <c r="BL26" s="393" t="s">
        <v>502</v>
      </c>
      <c r="BS26" s="259"/>
      <c r="BV26" s="34"/>
      <c r="BW26" s="243" t="str">
        <f t="shared" ref="BW26:CP26" si="2">IF(AND(BW$27=$BV$27,BW$44&lt;&gt;""),BW$44,IF(AND(BW$27=$BV$27,BW$45&lt;&gt;""),BW$45,IF(AND(BW$27=$BV$27,BW$46&lt;&gt;""),BW$46,IF(AND(BW$27=$BV$27,BW$47&lt;&gt;""),BW$47,IF(AND(BW$27=$BV$27,BW$48&lt;&gt;""),BW$48,IF(AND(BW$27=$BV$27,BW$49&lt;&gt;""),BW$49,""))))))</f>
        <v/>
      </c>
      <c r="BX26" s="243" t="str">
        <f t="shared" si="2"/>
        <v/>
      </c>
      <c r="BY26" s="243" t="str">
        <f t="shared" si="2"/>
        <v/>
      </c>
      <c r="BZ26" s="243" t="str">
        <f t="shared" si="2"/>
        <v/>
      </c>
      <c r="CA26" s="243" t="str">
        <f t="shared" si="2"/>
        <v/>
      </c>
      <c r="CB26" s="243" t="str">
        <f t="shared" si="2"/>
        <v/>
      </c>
      <c r="CC26" s="243" t="str">
        <f t="shared" si="2"/>
        <v/>
      </c>
      <c r="CD26" s="243" t="str">
        <f t="shared" si="2"/>
        <v/>
      </c>
      <c r="CE26" s="243" t="str">
        <f t="shared" si="2"/>
        <v/>
      </c>
      <c r="CF26" s="243" t="str">
        <f t="shared" si="2"/>
        <v/>
      </c>
      <c r="CG26" s="243" t="str">
        <f t="shared" si="2"/>
        <v/>
      </c>
      <c r="CH26" s="243" t="str">
        <f t="shared" si="2"/>
        <v/>
      </c>
      <c r="CI26" s="243" t="str">
        <f t="shared" si="2"/>
        <v/>
      </c>
      <c r="CJ26" s="243" t="str">
        <f t="shared" si="2"/>
        <v/>
      </c>
      <c r="CK26" s="243" t="str">
        <f t="shared" si="2"/>
        <v/>
      </c>
      <c r="CL26" s="243" t="str">
        <f t="shared" si="2"/>
        <v/>
      </c>
      <c r="CM26" s="243" t="str">
        <f t="shared" si="2"/>
        <v/>
      </c>
      <c r="CN26" s="243" t="str">
        <f t="shared" si="2"/>
        <v/>
      </c>
      <c r="CO26" s="243" t="str">
        <f t="shared" si="2"/>
        <v/>
      </c>
      <c r="CP26" s="243" t="str">
        <f t="shared" si="2"/>
        <v/>
      </c>
      <c r="CQ26" s="2"/>
    </row>
    <row r="27" spans="1:255" s="16" customFormat="1" ht="25.5" customHeight="1" thickTop="1" thickBot="1" x14ac:dyDescent="0.35">
      <c r="E27" s="1191" t="s">
        <v>76</v>
      </c>
      <c r="F27" s="1192"/>
      <c r="G27" s="1193"/>
      <c r="H27" s="1026" t="s">
        <v>338</v>
      </c>
      <c r="I27" s="1027" t="s">
        <v>339</v>
      </c>
      <c r="J27" s="1028" t="s">
        <v>38</v>
      </c>
      <c r="K27" s="1027" t="s">
        <v>52</v>
      </c>
      <c r="L27" s="1029" t="s">
        <v>340</v>
      </c>
      <c r="M27" s="1030" t="s">
        <v>39</v>
      </c>
      <c r="N27" s="1031" t="s">
        <v>361</v>
      </c>
      <c r="O27" s="1032"/>
      <c r="P27" s="1033" t="s">
        <v>51</v>
      </c>
      <c r="Q27" s="1025"/>
      <c r="R27" s="1025"/>
      <c r="S27" s="1033" t="s">
        <v>74</v>
      </c>
      <c r="T27" s="1034" t="s">
        <v>59</v>
      </c>
      <c r="U27" s="1035" t="s">
        <v>142</v>
      </c>
      <c r="V27" s="1036"/>
      <c r="W27" s="1037" t="s">
        <v>23</v>
      </c>
      <c r="X27" s="1035"/>
      <c r="Y27" s="1038"/>
      <c r="Z27" s="1037" t="s">
        <v>57</v>
      </c>
      <c r="AA27" s="1194" t="s">
        <v>58</v>
      </c>
      <c r="AB27" s="1195"/>
      <c r="AC27" s="1039" t="s">
        <v>40</v>
      </c>
      <c r="AD27" s="1145" t="s">
        <v>41</v>
      </c>
      <c r="AE27" s="1163"/>
      <c r="AF27" s="1119" t="s">
        <v>47</v>
      </c>
      <c r="AG27" s="1033" t="s">
        <v>301</v>
      </c>
      <c r="AH27" s="1039" t="s">
        <v>46</v>
      </c>
      <c r="AI27" s="1037" t="s">
        <v>45</v>
      </c>
      <c r="AJ27" s="1156" t="s">
        <v>48</v>
      </c>
      <c r="AK27" s="1157"/>
      <c r="AL27" s="1026" t="s">
        <v>46</v>
      </c>
      <c r="AM27" s="1145" t="s">
        <v>48</v>
      </c>
      <c r="AN27" s="1146"/>
      <c r="AO27" s="1147"/>
      <c r="AP27" s="17"/>
      <c r="AQ27" s="1053"/>
      <c r="AR27" s="17"/>
      <c r="AU27" s="1118">
        <f>MIN($AF$30:$AF$49)</f>
        <v>0</v>
      </c>
      <c r="AV27" s="255"/>
      <c r="AW27" s="15"/>
      <c r="BA27" s="2"/>
      <c r="BB27" s="2"/>
      <c r="BC27" s="2"/>
      <c r="BL27" s="27" t="s">
        <v>504</v>
      </c>
      <c r="BS27" s="260"/>
      <c r="BT27" s="252"/>
      <c r="BU27" s="253" t="s">
        <v>242</v>
      </c>
      <c r="BV27" s="251">
        <f>MIN(BW27:CP27)</f>
        <v>0</v>
      </c>
      <c r="BW27" s="242" t="str">
        <f>IF(20-COUNTBLANK(BW30:BW49)=0,"",20-COUNTBLANK(BW30:BW49))</f>
        <v/>
      </c>
      <c r="BX27" s="242" t="str">
        <f t="shared" ref="BX27:CP27" si="3">IF(20-COUNTBLANK(BX30:BX49)=0,"",20-COUNTBLANK(BX30:BX49))</f>
        <v/>
      </c>
      <c r="BY27" s="242" t="str">
        <f t="shared" si="3"/>
        <v/>
      </c>
      <c r="BZ27" s="242" t="str">
        <f t="shared" si="3"/>
        <v/>
      </c>
      <c r="CA27" s="242" t="str">
        <f t="shared" si="3"/>
        <v/>
      </c>
      <c r="CB27" s="242" t="str">
        <f t="shared" si="3"/>
        <v/>
      </c>
      <c r="CC27" s="242" t="str">
        <f t="shared" si="3"/>
        <v/>
      </c>
      <c r="CD27" s="242" t="str">
        <f t="shared" si="3"/>
        <v/>
      </c>
      <c r="CE27" s="242" t="str">
        <f t="shared" si="3"/>
        <v/>
      </c>
      <c r="CF27" s="242" t="str">
        <f t="shared" si="3"/>
        <v/>
      </c>
      <c r="CG27" s="242" t="str">
        <f t="shared" si="3"/>
        <v/>
      </c>
      <c r="CH27" s="242" t="str">
        <f t="shared" si="3"/>
        <v/>
      </c>
      <c r="CI27" s="242" t="str">
        <f t="shared" si="3"/>
        <v/>
      </c>
      <c r="CJ27" s="242" t="str">
        <f t="shared" si="3"/>
        <v/>
      </c>
      <c r="CK27" s="242" t="str">
        <f t="shared" si="3"/>
        <v/>
      </c>
      <c r="CL27" s="242" t="str">
        <f t="shared" si="3"/>
        <v/>
      </c>
      <c r="CM27" s="242" t="str">
        <f t="shared" si="3"/>
        <v/>
      </c>
      <c r="CN27" s="242" t="str">
        <f t="shared" si="3"/>
        <v/>
      </c>
      <c r="CO27" s="242" t="str">
        <f t="shared" si="3"/>
        <v/>
      </c>
      <c r="CP27" s="242" t="str">
        <f t="shared" si="3"/>
        <v/>
      </c>
      <c r="CQ27" s="2"/>
      <c r="CR27" s="218" t="s">
        <v>231</v>
      </c>
      <c r="CS27" s="160"/>
      <c r="CT27" s="160"/>
      <c r="CU27" s="160"/>
      <c r="CV27" s="219"/>
      <c r="CW27" s="199" t="s">
        <v>226</v>
      </c>
      <c r="CX27" s="199"/>
      <c r="CY27" s="199"/>
      <c r="CZ27" s="199"/>
      <c r="DA27" s="199"/>
      <c r="DB27" s="199"/>
      <c r="DC27" s="200"/>
      <c r="DD27" s="200"/>
    </row>
    <row r="28" spans="1:255" ht="18.45" thickTop="1" thickBot="1" x14ac:dyDescent="0.35">
      <c r="E28" s="713" t="s">
        <v>82</v>
      </c>
      <c r="F28" s="714" t="s">
        <v>63</v>
      </c>
      <c r="G28" s="714" t="s">
        <v>62</v>
      </c>
      <c r="H28" s="718" t="s">
        <v>467</v>
      </c>
      <c r="I28" s="719" t="s">
        <v>468</v>
      </c>
      <c r="J28" s="711" t="s">
        <v>376</v>
      </c>
      <c r="K28" s="720" t="s">
        <v>377</v>
      </c>
      <c r="L28" s="720" t="s">
        <v>378</v>
      </c>
      <c r="M28" s="721" t="s">
        <v>379</v>
      </c>
      <c r="N28" s="722" t="s">
        <v>17</v>
      </c>
      <c r="O28" s="723"/>
      <c r="P28" s="724" t="s">
        <v>380</v>
      </c>
      <c r="Q28" s="21"/>
      <c r="R28" s="21"/>
      <c r="S28" s="725" t="s">
        <v>61</v>
      </c>
      <c r="T28" s="711" t="s">
        <v>381</v>
      </c>
      <c r="U28" s="699" t="s">
        <v>382</v>
      </c>
      <c r="V28" s="566" t="s">
        <v>302</v>
      </c>
      <c r="W28" s="721" t="s">
        <v>383</v>
      </c>
      <c r="X28" s="573" t="s">
        <v>304</v>
      </c>
      <c r="Y28" s="574" t="s">
        <v>304</v>
      </c>
      <c r="Z28" s="721" t="s">
        <v>19</v>
      </c>
      <c r="AA28" s="1161" t="s">
        <v>384</v>
      </c>
      <c r="AB28" s="1169"/>
      <c r="AC28" s="711" t="s">
        <v>292</v>
      </c>
      <c r="AD28" s="1161" t="s">
        <v>291</v>
      </c>
      <c r="AE28" s="1162"/>
      <c r="AF28" s="1120" t="s">
        <v>290</v>
      </c>
      <c r="AG28" s="1122" t="s">
        <v>514</v>
      </c>
      <c r="AH28" s="726" t="s">
        <v>71</v>
      </c>
      <c r="AI28" s="727" t="s">
        <v>484</v>
      </c>
      <c r="AJ28" s="728" t="s">
        <v>385</v>
      </c>
      <c r="AK28" s="729">
        <f>L11</f>
        <v>30</v>
      </c>
      <c r="AL28" s="713" t="s">
        <v>187</v>
      </c>
      <c r="AM28" s="732" t="s">
        <v>337</v>
      </c>
      <c r="AN28" s="758">
        <f>L12</f>
        <v>15</v>
      </c>
      <c r="AO28" s="759"/>
      <c r="AQ28" s="893" t="s">
        <v>273</v>
      </c>
      <c r="AT28" s="16"/>
      <c r="AU28" s="1114" t="s">
        <v>513</v>
      </c>
      <c r="AV28" s="348"/>
      <c r="AW28" s="231" t="s">
        <v>239</v>
      </c>
      <c r="AX28" s="246"/>
      <c r="AY28" s="246"/>
      <c r="AZ28" s="247"/>
      <c r="BL28" s="912" t="s">
        <v>503</v>
      </c>
      <c r="BW28" s="231" t="s">
        <v>237</v>
      </c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3"/>
      <c r="CR28" s="220" t="s">
        <v>232</v>
      </c>
      <c r="CS28" s="79"/>
      <c r="CT28" s="221" t="s">
        <v>233</v>
      </c>
      <c r="CU28" s="222"/>
      <c r="CV28" s="223"/>
      <c r="CW28" s="201" t="s">
        <v>227</v>
      </c>
      <c r="CX28" s="202"/>
      <c r="CY28" s="203"/>
      <c r="CZ28" s="117" t="s">
        <v>138</v>
      </c>
      <c r="DA28" s="118" t="s">
        <v>136</v>
      </c>
      <c r="DB28" s="119" t="s">
        <v>135</v>
      </c>
      <c r="DC28" s="118" t="s">
        <v>134</v>
      </c>
      <c r="DD28" s="114"/>
      <c r="DE28" s="114"/>
      <c r="DF28" s="114"/>
      <c r="DG28" s="120" t="s">
        <v>135</v>
      </c>
      <c r="DH28" s="121"/>
      <c r="DI28" s="114"/>
      <c r="DJ28" s="79"/>
      <c r="DK28" s="119" t="s">
        <v>134</v>
      </c>
      <c r="DL28" s="114"/>
      <c r="DM28" s="114"/>
      <c r="DN28" s="114"/>
      <c r="DO28" s="120" t="s">
        <v>135</v>
      </c>
      <c r="DP28" s="121"/>
      <c r="DQ28" s="114"/>
      <c r="DR28" s="79"/>
      <c r="DS28" s="119" t="s">
        <v>134</v>
      </c>
      <c r="DT28" s="114"/>
      <c r="DU28" s="114"/>
      <c r="DV28" s="114"/>
      <c r="DW28" s="120" t="s">
        <v>135</v>
      </c>
      <c r="DX28" s="121"/>
      <c r="DY28" s="114"/>
      <c r="DZ28" s="79"/>
      <c r="EA28" s="119" t="s">
        <v>134</v>
      </c>
      <c r="EB28" s="114"/>
      <c r="EC28" s="114"/>
      <c r="ED28" s="114"/>
      <c r="EE28" s="120" t="s">
        <v>135</v>
      </c>
      <c r="EF28" s="121"/>
      <c r="EG28" s="114"/>
      <c r="EH28" s="79"/>
      <c r="EI28" s="119" t="s">
        <v>134</v>
      </c>
      <c r="EJ28" s="114"/>
      <c r="EK28" s="114"/>
      <c r="EL28" s="114"/>
      <c r="EM28" s="120" t="s">
        <v>135</v>
      </c>
      <c r="EN28" s="121"/>
      <c r="EO28" s="114"/>
      <c r="EP28" s="79"/>
      <c r="EQ28" s="119" t="s">
        <v>134</v>
      </c>
      <c r="ER28" s="114"/>
      <c r="ES28" s="114"/>
      <c r="ET28" s="114"/>
      <c r="EU28" s="120" t="s">
        <v>135</v>
      </c>
      <c r="EV28" s="121"/>
      <c r="EW28" s="114"/>
      <c r="EX28" s="79"/>
      <c r="EY28" s="119" t="s">
        <v>134</v>
      </c>
      <c r="EZ28" s="114"/>
      <c r="FA28" s="114"/>
      <c r="FB28" s="114"/>
      <c r="FC28" s="120" t="s">
        <v>135</v>
      </c>
      <c r="FD28" s="121"/>
      <c r="FE28" s="114"/>
      <c r="FF28" s="79"/>
      <c r="FG28" s="119" t="s">
        <v>134</v>
      </c>
      <c r="FH28" s="114"/>
      <c r="FI28" s="114"/>
      <c r="FJ28" s="114"/>
      <c r="FK28" s="120" t="s">
        <v>135</v>
      </c>
      <c r="FL28" s="121"/>
      <c r="FM28" s="114"/>
      <c r="FN28" s="79"/>
      <c r="FO28" s="119" t="s">
        <v>134</v>
      </c>
      <c r="FP28" s="114"/>
      <c r="FQ28" s="114"/>
      <c r="FR28" s="114"/>
      <c r="FS28" s="120" t="s">
        <v>135</v>
      </c>
      <c r="FT28" s="121"/>
      <c r="FU28" s="114"/>
      <c r="FV28" s="79"/>
      <c r="FW28" s="119" t="s">
        <v>134</v>
      </c>
      <c r="FX28" s="114"/>
      <c r="FY28" s="114"/>
      <c r="FZ28" s="114"/>
      <c r="GA28" s="120" t="s">
        <v>135</v>
      </c>
      <c r="GB28" s="121"/>
      <c r="GC28" s="114"/>
      <c r="GD28" s="79"/>
      <c r="GE28" s="119" t="s">
        <v>134</v>
      </c>
      <c r="GF28" s="114"/>
      <c r="GG28" s="114"/>
      <c r="GH28" s="114"/>
      <c r="GI28" s="120" t="s">
        <v>135</v>
      </c>
      <c r="GJ28" s="121"/>
      <c r="GK28" s="114"/>
      <c r="GL28" s="79"/>
      <c r="GM28" s="119" t="s">
        <v>134</v>
      </c>
      <c r="GN28" s="114"/>
      <c r="GO28" s="114"/>
      <c r="GP28" s="114"/>
      <c r="GQ28" s="120" t="s">
        <v>135</v>
      </c>
      <c r="GR28" s="121"/>
      <c r="GS28" s="114"/>
      <c r="GT28" s="79"/>
      <c r="GU28" s="119" t="s">
        <v>134</v>
      </c>
      <c r="GV28" s="114"/>
      <c r="GW28" s="114"/>
      <c r="GX28" s="114"/>
      <c r="GY28" s="120" t="s">
        <v>135</v>
      </c>
      <c r="GZ28" s="121"/>
      <c r="HA28" s="114"/>
      <c r="HB28" s="79"/>
      <c r="HC28" s="119" t="s">
        <v>134</v>
      </c>
      <c r="HD28" s="114"/>
      <c r="HE28" s="114"/>
      <c r="HF28" s="114"/>
      <c r="HG28" s="120" t="s">
        <v>135</v>
      </c>
      <c r="HH28" s="121"/>
      <c r="HI28" s="114"/>
      <c r="HJ28" s="79"/>
      <c r="HK28" s="119" t="s">
        <v>134</v>
      </c>
      <c r="HL28" s="114"/>
      <c r="HM28" s="114"/>
      <c r="HN28" s="114"/>
      <c r="HO28" s="120" t="s">
        <v>135</v>
      </c>
      <c r="HP28" s="121"/>
      <c r="HQ28" s="114"/>
      <c r="HR28" s="79"/>
      <c r="HS28" s="119" t="s">
        <v>134</v>
      </c>
      <c r="HT28" s="114"/>
      <c r="HU28" s="114"/>
      <c r="HV28" s="114"/>
      <c r="HW28" s="120" t="s">
        <v>135</v>
      </c>
      <c r="HX28" s="121"/>
      <c r="HY28" s="114"/>
      <c r="HZ28" s="79"/>
      <c r="IA28" s="119" t="s">
        <v>134</v>
      </c>
      <c r="IB28" s="114"/>
      <c r="IC28" s="114"/>
      <c r="ID28" s="114"/>
      <c r="IE28" s="120" t="s">
        <v>135</v>
      </c>
      <c r="IF28" s="121"/>
      <c r="IG28" s="114"/>
      <c r="IH28" s="79"/>
      <c r="II28" s="119" t="s">
        <v>134</v>
      </c>
      <c r="IJ28" s="114"/>
      <c r="IK28" s="114"/>
      <c r="IL28" s="114"/>
      <c r="IM28" s="120" t="s">
        <v>135</v>
      </c>
      <c r="IN28" s="121"/>
      <c r="IO28" s="114"/>
      <c r="IP28" s="79"/>
      <c r="IQ28" s="119" t="s">
        <v>134</v>
      </c>
      <c r="IR28" s="114"/>
      <c r="IS28" s="114"/>
      <c r="IT28" s="114"/>
      <c r="IU28" s="120" t="s">
        <v>135</v>
      </c>
    </row>
    <row r="29" spans="1:255" s="16" customFormat="1" ht="15" customHeight="1" thickTop="1" thickBot="1" x14ac:dyDescent="0.35">
      <c r="A29" s="902">
        <f>SUM(A30:A49)</f>
        <v>0</v>
      </c>
      <c r="E29" s="715" t="s">
        <v>44</v>
      </c>
      <c r="F29" s="716"/>
      <c r="G29" s="717"/>
      <c r="H29" s="733" t="s">
        <v>44</v>
      </c>
      <c r="I29" s="734" t="s">
        <v>44</v>
      </c>
      <c r="J29" s="712" t="s">
        <v>27</v>
      </c>
      <c r="K29" s="735" t="s">
        <v>27</v>
      </c>
      <c r="L29" s="736" t="s">
        <v>27</v>
      </c>
      <c r="M29" s="737" t="s">
        <v>27</v>
      </c>
      <c r="N29" s="738" t="str">
        <f>IF(D19="x","100%","Quadro 2")</f>
        <v>Quadro 2</v>
      </c>
      <c r="O29" s="668"/>
      <c r="P29" s="374" t="s">
        <v>164</v>
      </c>
      <c r="Q29" s="237"/>
      <c r="R29" s="237"/>
      <c r="S29" s="373"/>
      <c r="T29" s="712" t="s">
        <v>26</v>
      </c>
      <c r="U29" s="739" t="s">
        <v>26</v>
      </c>
      <c r="V29" s="567" t="s">
        <v>303</v>
      </c>
      <c r="W29" s="737" t="s">
        <v>26</v>
      </c>
      <c r="X29" s="575" t="s">
        <v>305</v>
      </c>
      <c r="Y29" s="576" t="s">
        <v>306</v>
      </c>
      <c r="Z29" s="737" t="s">
        <v>26</v>
      </c>
      <c r="AA29" s="740" t="s">
        <v>336</v>
      </c>
      <c r="AB29" s="741" t="s">
        <v>243</v>
      </c>
      <c r="AC29" s="712" t="str">
        <f t="shared" ref="AC29:AI29" si="4">IF($K$17="x","kPa","mbar")</f>
        <v>mbar</v>
      </c>
      <c r="AD29" s="1148" t="str">
        <f t="shared" si="4"/>
        <v>mbar</v>
      </c>
      <c r="AE29" s="1160"/>
      <c r="AF29" s="739" t="str">
        <f>IF($K$17="x","kPa","mbar")</f>
        <v>mbar</v>
      </c>
      <c r="AG29" s="373" t="str">
        <f t="shared" si="4"/>
        <v>mbar</v>
      </c>
      <c r="AH29" s="712" t="str">
        <f t="shared" si="4"/>
        <v>mbar</v>
      </c>
      <c r="AI29" s="737" t="str">
        <f t="shared" si="4"/>
        <v>mbar</v>
      </c>
      <c r="AJ29" s="1167" t="str">
        <f>IF($K$17="x","kPa","mbar")</f>
        <v>mbar</v>
      </c>
      <c r="AK29" s="1168"/>
      <c r="AL29" s="742" t="s">
        <v>60</v>
      </c>
      <c r="AM29" s="1148" t="s">
        <v>60</v>
      </c>
      <c r="AN29" s="1149"/>
      <c r="AO29" s="1150"/>
      <c r="AP29" s="17"/>
      <c r="AQ29" s="894" t="s">
        <v>44</v>
      </c>
      <c r="AR29" s="17"/>
      <c r="AU29" s="1115">
        <f>SUM(AU30:AU49)</f>
        <v>0</v>
      </c>
      <c r="AV29" s="349">
        <f>SUM(AV30:AV49)</f>
        <v>0</v>
      </c>
      <c r="AW29" s="236" t="s">
        <v>51</v>
      </c>
      <c r="AX29" s="240" t="s">
        <v>238</v>
      </c>
      <c r="AY29" s="238"/>
      <c r="AZ29" s="239"/>
      <c r="BA29" s="2"/>
      <c r="BB29" s="2"/>
      <c r="BC29" s="2"/>
      <c r="BD29" s="2"/>
      <c r="BE29" s="2"/>
      <c r="BF29" s="2"/>
      <c r="BG29" s="2"/>
      <c r="BH29" s="2"/>
      <c r="BI29" s="915" t="str">
        <f>IF(MAX(BI30:BI49)&gt;0,MAX(BI30:BI49),"")</f>
        <v/>
      </c>
      <c r="BJ29" s="2"/>
      <c r="BK29" s="2"/>
      <c r="BL29" s="21" t="s">
        <v>501</v>
      </c>
      <c r="BM29" s="21" t="s">
        <v>500</v>
      </c>
      <c r="BN29" s="2"/>
      <c r="BO29" s="2"/>
      <c r="BP29" s="2"/>
      <c r="BQ29" s="2"/>
      <c r="BR29" s="2"/>
      <c r="BS29" s="2"/>
      <c r="BT29" s="2"/>
      <c r="BU29" s="2"/>
      <c r="BV29" s="2"/>
      <c r="BW29" s="234">
        <v>1</v>
      </c>
      <c r="BX29" s="234">
        <v>2</v>
      </c>
      <c r="BY29" s="234">
        <v>3</v>
      </c>
      <c r="BZ29" s="234">
        <v>4</v>
      </c>
      <c r="CA29" s="234">
        <v>5</v>
      </c>
      <c r="CB29" s="234">
        <v>6</v>
      </c>
      <c r="CC29" s="234">
        <v>7</v>
      </c>
      <c r="CD29" s="234">
        <v>8</v>
      </c>
      <c r="CE29" s="234">
        <v>9</v>
      </c>
      <c r="CF29" s="234">
        <v>10</v>
      </c>
      <c r="CG29" s="234">
        <v>11</v>
      </c>
      <c r="CH29" s="234">
        <v>12</v>
      </c>
      <c r="CI29" s="234">
        <v>13</v>
      </c>
      <c r="CJ29" s="234">
        <v>14</v>
      </c>
      <c r="CK29" s="234">
        <v>15</v>
      </c>
      <c r="CL29" s="234">
        <v>16</v>
      </c>
      <c r="CM29" s="234">
        <v>17</v>
      </c>
      <c r="CN29" s="234">
        <v>18</v>
      </c>
      <c r="CO29" s="234">
        <v>19</v>
      </c>
      <c r="CP29" s="234">
        <v>20</v>
      </c>
      <c r="CQ29" s="153" t="s">
        <v>488</v>
      </c>
      <c r="CR29" s="224" t="s">
        <v>234</v>
      </c>
      <c r="CS29" s="223"/>
      <c r="CT29" s="225" t="s">
        <v>236</v>
      </c>
      <c r="CU29" s="222"/>
      <c r="CV29" s="206">
        <f>MAX(CV30:CV49)</f>
        <v>0</v>
      </c>
      <c r="CW29" s="204" t="s">
        <v>228</v>
      </c>
      <c r="CX29" s="205"/>
      <c r="CY29" s="206">
        <f>MAX(CY30:CY49)</f>
        <v>0</v>
      </c>
      <c r="CZ29" s="37"/>
      <c r="DA29" s="39"/>
      <c r="DB29" s="122" t="s">
        <v>137</v>
      </c>
      <c r="DC29" s="38"/>
      <c r="DD29" s="39"/>
      <c r="DE29" s="39"/>
      <c r="DF29" s="39"/>
      <c r="DG29" s="122" t="s">
        <v>137</v>
      </c>
      <c r="DH29" s="40"/>
      <c r="DI29" s="39"/>
      <c r="DJ29" s="39"/>
      <c r="DK29" s="39"/>
      <c r="DL29" s="39"/>
      <c r="DM29" s="39"/>
      <c r="DN29" s="39"/>
      <c r="DO29" s="41" t="s">
        <v>137</v>
      </c>
      <c r="DP29" s="40"/>
      <c r="DQ29" s="39"/>
      <c r="DR29" s="39"/>
      <c r="DS29" s="39"/>
      <c r="DT29" s="39"/>
      <c r="DU29" s="39"/>
      <c r="DV29" s="39"/>
      <c r="DW29" s="41" t="s">
        <v>137</v>
      </c>
      <c r="DX29" s="40"/>
      <c r="DY29" s="39"/>
      <c r="DZ29" s="39"/>
      <c r="EA29" s="39"/>
      <c r="EB29" s="39"/>
      <c r="EC29" s="39"/>
      <c r="ED29" s="39"/>
      <c r="EE29" s="41" t="s">
        <v>137</v>
      </c>
      <c r="EF29" s="40"/>
      <c r="EG29" s="39"/>
      <c r="EH29" s="39"/>
      <c r="EI29" s="39"/>
      <c r="EJ29" s="39"/>
      <c r="EK29" s="39"/>
      <c r="EL29" s="39"/>
      <c r="EM29" s="41" t="s">
        <v>137</v>
      </c>
      <c r="EN29" s="40"/>
      <c r="EO29" s="39"/>
      <c r="EP29" s="39"/>
      <c r="EQ29" s="39"/>
      <c r="ER29" s="39"/>
      <c r="ES29" s="39"/>
      <c r="ET29" s="39"/>
      <c r="EU29" s="41" t="s">
        <v>137</v>
      </c>
      <c r="EV29" s="40"/>
      <c r="EW29" s="39"/>
      <c r="EX29" s="39"/>
      <c r="EY29" s="39"/>
      <c r="EZ29" s="39"/>
      <c r="FA29" s="39"/>
      <c r="FB29" s="39"/>
      <c r="FC29" s="41" t="s">
        <v>137</v>
      </c>
      <c r="FD29" s="40"/>
      <c r="FE29" s="39"/>
      <c r="FF29" s="39"/>
      <c r="FG29" s="39"/>
      <c r="FH29" s="39"/>
      <c r="FI29" s="39"/>
      <c r="FJ29" s="39"/>
      <c r="FK29" s="41" t="s">
        <v>137</v>
      </c>
      <c r="FL29" s="40"/>
      <c r="FM29" s="39"/>
      <c r="FN29" s="39"/>
      <c r="FO29" s="39"/>
      <c r="FP29" s="39"/>
      <c r="FQ29" s="39"/>
      <c r="FR29" s="39"/>
      <c r="FS29" s="41" t="s">
        <v>137</v>
      </c>
      <c r="FT29" s="40"/>
      <c r="FU29" s="39"/>
      <c r="FV29" s="39"/>
      <c r="FW29" s="39"/>
      <c r="FX29" s="39"/>
      <c r="FY29" s="39"/>
      <c r="FZ29" s="39"/>
      <c r="GA29" s="41" t="s">
        <v>137</v>
      </c>
      <c r="GB29" s="40"/>
      <c r="GC29" s="39"/>
      <c r="GD29" s="39"/>
      <c r="GE29" s="39"/>
      <c r="GF29" s="39"/>
      <c r="GG29" s="39"/>
      <c r="GH29" s="39"/>
      <c r="GI29" s="41" t="s">
        <v>137</v>
      </c>
      <c r="GJ29" s="40"/>
      <c r="GK29" s="39"/>
      <c r="GL29" s="39"/>
      <c r="GM29" s="39"/>
      <c r="GN29" s="39"/>
      <c r="GO29" s="39"/>
      <c r="GP29" s="39"/>
      <c r="GQ29" s="41" t="s">
        <v>137</v>
      </c>
      <c r="GR29" s="40"/>
      <c r="GS29" s="39"/>
      <c r="GT29" s="39"/>
      <c r="GU29" s="39"/>
      <c r="GV29" s="39"/>
      <c r="GW29" s="39"/>
      <c r="GX29" s="39"/>
      <c r="GY29" s="41" t="s">
        <v>137</v>
      </c>
      <c r="GZ29" s="40"/>
      <c r="HA29" s="39"/>
      <c r="HB29" s="39"/>
      <c r="HC29" s="39"/>
      <c r="HD29" s="39"/>
      <c r="HE29" s="39"/>
      <c r="HF29" s="39"/>
      <c r="HG29" s="41" t="s">
        <v>137</v>
      </c>
      <c r="HH29" s="40"/>
      <c r="HI29" s="39"/>
      <c r="HJ29" s="39"/>
      <c r="HK29" s="39"/>
      <c r="HL29" s="39"/>
      <c r="HM29" s="39"/>
      <c r="HN29" s="39"/>
      <c r="HO29" s="41" t="s">
        <v>137</v>
      </c>
      <c r="HP29" s="40"/>
      <c r="HQ29" s="39"/>
      <c r="HR29" s="39"/>
      <c r="HS29" s="39"/>
      <c r="HT29" s="39"/>
      <c r="HU29" s="39"/>
      <c r="HV29" s="39"/>
      <c r="HW29" s="41" t="s">
        <v>137</v>
      </c>
      <c r="HX29" s="40"/>
      <c r="HY29" s="39"/>
      <c r="HZ29" s="39"/>
      <c r="IA29" s="39"/>
      <c r="IB29" s="39"/>
      <c r="IC29" s="39"/>
      <c r="ID29" s="39"/>
      <c r="IE29" s="41" t="s">
        <v>137</v>
      </c>
      <c r="IF29" s="40"/>
      <c r="IG29" s="39"/>
      <c r="IH29" s="39"/>
      <c r="II29" s="39"/>
      <c r="IJ29" s="39"/>
      <c r="IK29" s="39"/>
      <c r="IL29" s="39"/>
      <c r="IM29" s="41" t="s">
        <v>137</v>
      </c>
      <c r="IN29" s="40"/>
      <c r="IO29" s="39"/>
      <c r="IP29" s="39"/>
      <c r="IQ29" s="39"/>
      <c r="IR29" s="39"/>
      <c r="IS29" s="39"/>
      <c r="IT29" s="39"/>
      <c r="IU29" s="41" t="s">
        <v>137</v>
      </c>
    </row>
    <row r="30" spans="1:255" s="16" customFormat="1" ht="18" customHeight="1" thickTop="1" thickBot="1" x14ac:dyDescent="0.35">
      <c r="A30" s="902" t="str">
        <f>IF(OR(K30="",ABS(K30)&lt;=J30),"",1)</f>
        <v/>
      </c>
      <c r="B30" s="903"/>
      <c r="C30" s="708"/>
      <c r="D30" s="709" t="str">
        <f>IF(OR(F30="",G30=""),"",1)</f>
        <v/>
      </c>
      <c r="E30" s="843" t="str">
        <f>IF(D30="","",SUM(D$30:D30))</f>
        <v/>
      </c>
      <c r="F30" s="951"/>
      <c r="G30" s="952"/>
      <c r="H30" s="953"/>
      <c r="I30" s="954"/>
      <c r="J30" s="955"/>
      <c r="K30" s="956"/>
      <c r="L30" s="925"/>
      <c r="M30" s="927" t="str">
        <f>IF(J30="","",IF(L30="",ABS(J30)*(1+$L$13),ABS(J30)+L30))</f>
        <v/>
      </c>
      <c r="N30" s="934" t="str">
        <f>IF(AND(H30="",I30=""),"",IF($D$19="x",1,IF($K$16="",LOOKUP((H30+I30),'Quadro 2 Ordenado'!$B$6:'Quadro 2 Ordenado'!$B$107,'Quadro 2 Ordenado'!$C$6:'Quadro 2 Ordenado'!$C$107),LOOKUP((H30+I30),'Quadro 2 Ordenado'!$B$6:'Quadro 2 Ordenado'!$B$107,'Quadro 2 Ordenado'!$D$6:'Quadro 2 Ordenado'!$D$107))))</f>
        <v/>
      </c>
      <c r="O30" s="42"/>
      <c r="P30" s="928" t="str">
        <f>IF(OR(AND(H30="",I30=""),N30=""),"",N30*($AC$15*H30+$AM$15*I30))</f>
        <v/>
      </c>
      <c r="S30" s="935" t="str">
        <f t="shared" ref="S30:S49" si="5">IF(OR(P30="",P30=0),"","Aço")</f>
        <v/>
      </c>
      <c r="T30" s="111" t="str">
        <f t="shared" ref="T30:T49" si="6">IF(OR(P30="",P30=0,$AC$19=""),"",ROUND((($AW$13*$L$8*(P30^1.82))/($AC$19*0.000001*(1/$AW$12^2)))^(1/4.82),1))</f>
        <v/>
      </c>
      <c r="U30" s="926"/>
      <c r="V30" s="610" t="str">
        <f>IF(T30="","",IF(U30&lt;&gt;"",U30,T30))</f>
        <v/>
      </c>
      <c r="W30" s="936" t="str">
        <f>IF(OR(T30="",T30=0),"",IF($V30&gt;'Quadro 3'!$F$23,'Quadro 3'!$F$23,IF($V30&lt;'Quadro 3'!$F$10,'Quadro 3'!$F$10,MIN($X30,$Y30))))</f>
        <v/>
      </c>
      <c r="X30" s="937" t="str">
        <f>IF($V30&lt;='Quadro 3'!$F$10,'Quadro 3'!$F$10,IF($V30&lt;='Quadro 3'!$F$11,'Quadro 3'!$F$11,IF($V30&lt;='Quadro 3'!$F$12,'Quadro 3'!$F$12,IF($V30&lt;='Quadro 3'!$F$13,'Quadro 3'!$F$13,IF($V30&lt;='Quadro 3'!$F$14,'Quadro 3'!$F$14,IF($V30&lt;='Quadro 3'!$F$15,'Quadro 3'!$F$15,IF($V30&lt;='Quadro 3'!$F$16,'Quadro 3'!$F$16,"")))))))</f>
        <v/>
      </c>
      <c r="Y30" s="938" t="str">
        <f>IF(OR(T30="",T30=0),"",IF($V30&lt;='Quadro 3'!$F$17,'Quadro 3'!$F$17,IF($V30&lt;='Quadro 3'!$F$18,'Quadro 3'!$F$18,IF($V30&lt;='Quadro 3'!$F$19,'Quadro 3'!$F$19,IF($V30&lt;='Quadro 3'!$F$20,'Quadro 3'!$F$20,IF($V30&lt;='Quadro 3'!$F$21,'Quadro 3'!$F$21,IF($V30&lt;='Quadro 3'!$F$22,'Quadro 3'!$F$22,IF($V30&lt;='Quadro 3'!$F$23,'Quadro 3'!$F$23,'Quadro 3'!$F$23))))))))</f>
        <v/>
      </c>
      <c r="Z30" s="936" t="str">
        <f>IF($W30="","",LOOKUP($W30,'Quadro 3'!$F$9:$F$23,'Quadro 3'!$G$9:$G$23))</f>
        <v/>
      </c>
      <c r="AA30" s="1129" t="str">
        <f>IF($W30="","",LOOKUP($W30,'Quadro 3'!$F$9:$F$23,'Quadro 3'!$D$9:$D$23))</f>
        <v/>
      </c>
      <c r="AB30" s="939" t="str">
        <f>IF($W30="","",LOOKUP($W30,'Quadro 3'!$F$9:$F$23,'Quadro 3'!$E$9:$E$23))</f>
        <v/>
      </c>
      <c r="AC30" s="929" t="str">
        <f t="shared" ref="AC30:AC49" si="7">IF(OR(F30="",G30="",$AC$19=""),"",IF($F30=$BW$20,$AW$10,IF($AX30&lt;&gt;"",$AX30,IF($AY30&lt;&gt;"",$AY30,IF($AZ30&lt;&gt;"",$AZ30,"")))))</f>
        <v/>
      </c>
      <c r="AD30" s="1151" t="str">
        <f>IF(OR($F30="",$M30="",$W30="",AC30="",AC30=0),"",(SQRT(((AC30+$L$14)/$AW$12)^2-$AW$13*1000000*ABS($M30)*$AW$8*(($P30^1.82)/($W30^4.82)))-$L$14/$AW$12)*$AW$12)</f>
        <v/>
      </c>
      <c r="AE30" s="1152"/>
      <c r="AF30" s="1121" t="str">
        <f t="shared" ref="AF30:AF49" si="8">IF(AD30="","",(AD30/$AW$12+($AW$16*(1-$AW$7)*$K30))*$AW$12)</f>
        <v/>
      </c>
      <c r="AG30" s="1123" t="str">
        <f>IF(AF30="","",((2/3)*(((AC30+$L$14)^3-(AF30+$L$14)^3)/((AC30+$L$14)^2-(AF30+$L$14)^2)))-$L$14)</f>
        <v/>
      </c>
      <c r="AH30" s="931" t="str">
        <f t="shared" ref="AH30:AH49" si="9">IF(AF30="","",(AC30-AF30))</f>
        <v/>
      </c>
      <c r="AI30" s="932" t="str">
        <f t="shared" ref="AI30:AI49" si="10">IF(AF30="","",($AW$10-AF30))</f>
        <v/>
      </c>
      <c r="AJ30" s="1153" t="str">
        <f t="shared" ref="AJ30:AJ49" si="11">IF(AI30="","",IF(ROUND(AI30,1)&lt;=$L$11,"Conforme","Redimensionar"))</f>
        <v/>
      </c>
      <c r="AK30" s="1154"/>
      <c r="AL30" s="933" t="str">
        <f>IF(AG30="","",(354*P30*$L$14)/(W30^2*(AG30+$L$14)))</f>
        <v/>
      </c>
      <c r="AM30" s="1138" t="str">
        <f t="shared" ref="AM30:AM49" si="12">IF(AL30="","",IF(ROUND(AL30,1)&lt;=$L$12,"Conforme","Redimensionar"))</f>
        <v/>
      </c>
      <c r="AN30" s="1139"/>
      <c r="AO30" s="1140"/>
      <c r="AQ30" s="1125"/>
      <c r="AU30" s="1116">
        <f>IF(OR(AND(F30="",OR($G30&lt;&gt;"",$H30&lt;&gt;"",$I30&lt;&gt;"",$J30&lt;&gt;"")),AND($G30="",$F30&lt;&gt;"",$H30&lt;&gt;""),AND($H30="",$I30="",$J30&lt;&gt;""),AND(J30&lt;&gt;"",OR($F30="",$G30=""))),100,IF(AND(OR(AJ30="",AJ30="Não aplicável",AJ30="Conforme"),OR(AM30="",AM30="Conforme")),0,1))</f>
        <v>0</v>
      </c>
      <c r="AV30" s="350" t="str">
        <f>IF(F30="","",IF(F30=$BW$20,1,0))</f>
        <v/>
      </c>
      <c r="AW30" s="350">
        <f t="shared" ref="AW30:AW49" si="13">MAX(AX30:AZ30)</f>
        <v>0</v>
      </c>
      <c r="AX30" s="241" t="str">
        <f t="shared" ref="AX30:AX49" si="14">IF($F30="","",IF($F30=$G$30,$AF$30,IF($F30=$G$31,$AF$31,IF($F30=$G$32,$AF$32,IF($F30=$G$33,$AF$33,IF($F30=$G$34,$AF$34,IF($F30=$G$35,$AF$35,IF($F30=$G$36,$AF$36,""))))))))</f>
        <v/>
      </c>
      <c r="AY30" s="241" t="str">
        <f t="shared" ref="AY30:AY49" si="15">IF($F30="","",IF($F30=$G$37,$AF$37,IF($F30=$G$38,$AF$38,IF($F30=$G$39,$AF$39,IF($F30=$G$40,$AF$40,IF($F30=$G$41,$AF$41,IF($F30=$G$42,$AF$42,IF($F30=$G$43,$AF$43,""))))))))</f>
        <v/>
      </c>
      <c r="AZ30" s="241" t="str">
        <f t="shared" ref="AZ30:AZ49" si="16">IF($F30="","",IF($F30=$G$44,$AF$44,IF($F30=$G$45,$AF$45,IF($F30=$G$46,$AF$46,IF($F30=$G$47,$AF$47,IF($F30=$G$48,$AF$48,IF($F30=$G$49,$AF$49,"")))))))</f>
        <v/>
      </c>
      <c r="BA30" s="2"/>
      <c r="BB30" s="2"/>
      <c r="BC30" s="2"/>
      <c r="BD30" s="2"/>
      <c r="BE30" s="2"/>
      <c r="BF30" s="2"/>
      <c r="BG30" s="2"/>
      <c r="BH30" s="2"/>
      <c r="BI30" s="350" t="str">
        <f>IF(OR(W30="",BM30="",BJ30=0),"0",IF(W30&lt;BJ30,1,"0"))</f>
        <v>0</v>
      </c>
      <c r="BJ30" s="350">
        <f>IF(BM30="",0,IF(LOOKUP(BM30,$CQ$30:$CQ$49,$W$30:$W$49)="",0,LOOKUP(BM30,$CQ$30:$CQ$49,$W$30:$W$49)))</f>
        <v>0</v>
      </c>
      <c r="BK30" s="911" t="str">
        <f>IF(OR(H30="",BM30=""),"NA",IF(H30&lt;BL30,E30,"NA"))</f>
        <v>NA</v>
      </c>
      <c r="BL30" s="911" t="str">
        <f>IF(BM30="","",LOOKUP(BM30,$CQ$30:$CQ$49,$H$30:$H$49))</f>
        <v/>
      </c>
      <c r="BM30" s="911" t="str">
        <f>IF(OR(BW30="",BV30=1),"",MATCH(BW30,$CZ$30:$CZ$49,0))</f>
        <v/>
      </c>
      <c r="BN30" s="2"/>
      <c r="BO30" s="2"/>
      <c r="BP30" s="2"/>
      <c r="BQ30" s="2"/>
      <c r="BR30" s="2"/>
      <c r="BS30" s="2"/>
      <c r="BT30" s="2"/>
      <c r="BU30" s="2"/>
      <c r="BV30" s="350" t="str">
        <f>IF(OR(BW30="",BW30=0),"",COUNTIF($BW$30:$CP$49,BW30))</f>
        <v/>
      </c>
      <c r="BW30" s="235" t="str">
        <f>IF(DA30=0,"",DA30)</f>
        <v/>
      </c>
      <c r="BX30" s="235" t="str">
        <f>IF(DC30=0,"",DC30)</f>
        <v/>
      </c>
      <c r="BY30" s="235" t="str">
        <f>IF(DK30=0,"",DK30)</f>
        <v/>
      </c>
      <c r="BZ30" s="235" t="str">
        <f>IF(DS30=0,"",DS30)</f>
        <v/>
      </c>
      <c r="CA30" s="235" t="str">
        <f>IF(EA30=0,"",EA30)</f>
        <v/>
      </c>
      <c r="CB30" s="235" t="str">
        <f>IF(EI30=0,"",EI30)</f>
        <v/>
      </c>
      <c r="CC30" s="235" t="str">
        <f>IF(EQ30=0,"",EQ30)</f>
        <v/>
      </c>
      <c r="CD30" s="235" t="str">
        <f>IF(EY30=0,"",EY30)</f>
        <v/>
      </c>
      <c r="CE30" s="235" t="str">
        <f>IF(FG30=0,"",FG30)</f>
        <v/>
      </c>
      <c r="CF30" s="235" t="str">
        <f>IF(FO30=0,"",FO30)</f>
        <v/>
      </c>
      <c r="CG30" s="235" t="str">
        <f>IF(FW30=0,"",FW30)</f>
        <v/>
      </c>
      <c r="CH30" s="235" t="str">
        <f>IF(GE30=0,"",GE30)</f>
        <v/>
      </c>
      <c r="CI30" s="235" t="str">
        <f>IF(GM30=0,"",GM30)</f>
        <v/>
      </c>
      <c r="CJ30" s="235" t="str">
        <f>IF(GU30=0,"",GU30)</f>
        <v/>
      </c>
      <c r="CK30" s="235" t="str">
        <f>IF(HC30=0,"",HC30)</f>
        <v/>
      </c>
      <c r="CL30" s="235" t="str">
        <f>IF(HK30=0,"",HK30)</f>
        <v/>
      </c>
      <c r="CM30" s="235" t="str">
        <f>IF(HS30=0,"",HS30)</f>
        <v/>
      </c>
      <c r="CN30" s="235" t="str">
        <f>IF(IA30=0,"",IA30)</f>
        <v/>
      </c>
      <c r="CO30" s="235" t="str">
        <f>IF(II30=0,"",II30)</f>
        <v/>
      </c>
      <c r="CP30" s="235" t="str">
        <f>IF(IQ30=0,"",IQ30)</f>
        <v/>
      </c>
      <c r="CQ30" s="2">
        <v>1</v>
      </c>
      <c r="CR30" s="207" t="str">
        <f>IF($CU$50=1,CT30,IF(AND(CT30="Crítico",$CU$50&gt;1,CY54=$CY$53),"Crítico",CW30))</f>
        <v/>
      </c>
      <c r="CS30" s="226" t="str">
        <f>IF(CR30="","",1)</f>
        <v/>
      </c>
      <c r="CT30" s="207" t="str">
        <f>IF(OR(CV30="",CV30=0),"",IF(CV30=$CV$29,"Crítico",""))</f>
        <v/>
      </c>
      <c r="CU30" s="226" t="str">
        <f t="shared" ref="CU30:CU49" si="17">IF(CT30="","",1)</f>
        <v/>
      </c>
      <c r="CV30" s="43">
        <f>CY30+CY54</f>
        <v>0</v>
      </c>
      <c r="CW30" s="207" t="str">
        <f>IF(OR(CY30="",CY30=0),"",IF(CY30=$CY$29,"Crítico",""))</f>
        <v/>
      </c>
      <c r="CX30" s="208" t="str">
        <f>IF(CW30="","",1)</f>
        <v/>
      </c>
      <c r="CY30" s="43">
        <f>DB30+DG30+DO30+DW30+EE30+EM30+EU30+FC30+FK30+FS30+GA30+GI30+GQ30+GY30+HG30+HO30+HW30+IE30+IM30+IU30</f>
        <v>0</v>
      </c>
      <c r="CZ30" s="44">
        <f>F30</f>
        <v>0</v>
      </c>
      <c r="DA30" s="45">
        <f>G30</f>
        <v>0</v>
      </c>
      <c r="DB30" s="46">
        <f t="shared" ref="DB30:DB49" si="18">IF(OR($J30="",G30=""),0,$J30)</f>
        <v>0</v>
      </c>
      <c r="DC30" s="47" t="str">
        <f>IF(G30="","",F30)</f>
        <v/>
      </c>
      <c r="DD30" s="52">
        <f t="shared" ref="DD30:DD49" si="19">IF(OR(DC30=0,DC30=""),0,IF(DC30=$G$30,$J$30,IF(DC30=$G$31,$J$31,IF(DC30=$G$32,$J$32,IF(DC30=$G$33,$J$33,IF(DC30=$G$34,$J$34,IF(DC30=$G$35,$J$35,IF(DC30=$G$36,$J$36,""))))))))</f>
        <v>0</v>
      </c>
      <c r="DE30" s="52">
        <f t="shared" ref="DE30:DE49" si="20">IF(OR(DC30=0,DC30=""),0,IF(DC30=$G$37,$J$37,IF(DC30=$G$38,$J$38,IF(DC30=$G$39,$J$39,IF(DC30=$G$40,$J$40,IF(DC30=$G$41,$J$41,IF(DC30=$G$42,$J$42,IF(DC30=$G$43,$J$43,""))))))))</f>
        <v>0</v>
      </c>
      <c r="DF30" s="52">
        <f t="shared" ref="DF30:DF49" si="21">IF(OR(DC30=0,DC30=""),0,IF(DC30=$G$44,$J$44,IF(DC30=$G$45,$J$45,IF(DC30=$G$46,$J$46,IF(DC30=$G$47,$J$47,IF(DC30=$G$48,$J$48,IF(DC30=$G$49,$J$49,"")))))))</f>
        <v>0</v>
      </c>
      <c r="DG30" s="215">
        <f>IF(DC30="",0,MAX(DD30:DE30:DF30))</f>
        <v>0</v>
      </c>
      <c r="DH30" s="115" t="str">
        <f t="shared" ref="DH30:DH47" si="22">IF(DC30="","",IF(DC30=$G$30,$F$30,IF(DC30=$G$31,$F$31,IF(DC30=$G$32,$F$32,IF(DC30=$G$33,$F$33,IF(DC30=$G$34,$F$34,IF(DC30=$G$35,$F$35,IF(DC30=$G$36,$F$36,""))))))))</f>
        <v/>
      </c>
      <c r="DI30" s="51" t="str">
        <f t="shared" ref="DI30:DI47" si="23">IF(DC30="","",IF(DC30=$G$37,$F$37,IF(DC30=$G$38,$F$38,IF(DC30=$G$39,$F$39,IF(DC30=$G$40,$F$40,IF(DC30=$G$41,$F$41,IF(DC30=$G$42,$F$42,IF(DC30=$G$43,$F$43,""))))))))</f>
        <v/>
      </c>
      <c r="DJ30" s="51" t="str">
        <f t="shared" ref="DJ30:DJ47" si="24">IF(DC30="","",IF(DC30=$G$44,$F$44,IF(DC30=$G$45,$F$45,IF(DC30=$G$46,$F$46,IF(DC30=$G$47,$F$47,IF(DC30=$G$48,$F$48,IF(DC30=$G$49,$F$49,"")))))))</f>
        <v/>
      </c>
      <c r="DK30" s="49" t="str">
        <f>IF(DH30&lt;&gt;"",DH30,IF(DI30&lt;&gt;"",DI30,IF(DJ30&lt;&gt;"",DJ30,"")))</f>
        <v/>
      </c>
      <c r="DL30" s="52">
        <f t="shared" ref="DL30:DL49" si="25">IF(OR(DK30=0,DK30=""),0,IF(DK30=$G$30,$J$30,IF(DK30=$G$31,$J$31,IF(DK30=$G$32,$J$32,IF(DK30=$G$33,$J$33,IF(DK30=$G$34,$J$34,IF(DK30=$G$35,$J$35,IF(DK30=$G$36,$J$36,""))))))))</f>
        <v>0</v>
      </c>
      <c r="DM30" s="52">
        <f t="shared" ref="DM30:DM49" si="26">IF(OR(DK30=0,DK30=""),0,IF(DK30=$G$37,$J$37,IF(DK30=$G$38,$J$38,IF(DK30=$G$39,$J$39,IF(DK30=$G$40,$J$40,IF(DK30=$G$41,$J$41,IF(DK30=$G$42,$J$42,IF(DK30=$G$43,$J$43,""))))))))</f>
        <v>0</v>
      </c>
      <c r="DN30" s="52">
        <f t="shared" ref="DN30:DN49" si="27">IF(OR(DK30=0,DK30=""),0,IF(DK30=$G$44,$J$44,IF(DK30=$G$45,$J$45,IF(DK30=$G$46,$J$46,IF(DK30=$G$47,$J$47,IF(DK30=$G$48,$J$48,IF(DK30=$G$49,$J$49,"")))))))</f>
        <v>0</v>
      </c>
      <c r="DO30" s="215">
        <f>IF(DK30="",0,MAX(DL30:DM30:DN30))</f>
        <v>0</v>
      </c>
      <c r="DP30" s="115" t="str">
        <f t="shared" ref="DP30:DP49" si="28">IF(DK30="","",IF(DK30=$G$30,$F$30,IF(DK30=$G$31,$F$31,IF(DK30=$G$32,$F$32,IF(DK30=$G$33,$F$33,IF(DK30=$G$34,$F$34,IF(DK30=$G$35,$F$35,IF(DK30=$G$36,$F$36,""))))))))</f>
        <v/>
      </c>
      <c r="DQ30" s="51" t="str">
        <f t="shared" ref="DQ30:DQ49" si="29">IF(DK30="","",IF(DK30=$G$37,$F$37,IF(DK30=$G$38,$F$38,IF(DK30=$G$39,$F$39,IF(DK30=$G$40,$F$40,IF(DK30=$G$41,$F$41,IF(DK30=$G$42,$F$42,IF(DK30=$G$43,$F$43,""))))))))</f>
        <v/>
      </c>
      <c r="DR30" s="51" t="str">
        <f t="shared" ref="DR30:DR49" si="30">IF(DK30="","",IF(DK30=$G$44,$F$44,IF(DK30=$G$45,$F$45,IF(DK30=$G$46,$F$46,IF(DK30=$G$47,$F$47,IF(DK30=$G$48,$F$48,IF(DK30=$G$49,$F$49,"")))))))</f>
        <v/>
      </c>
      <c r="DS30" s="49" t="str">
        <f>IF(DP30&lt;&gt;"",DP30,IF(DQ30&lt;&gt;"",DQ30,IF(DR30&lt;&gt;"",DR30,"")))</f>
        <v/>
      </c>
      <c r="DT30" s="52">
        <f t="shared" ref="DT30:DT49" si="31">IF(OR(DS30=0,DS30=""),0,IF(DS30=$G$30,$J$30,IF(DS30=$G$31,$J$31,IF(DS30=$G$32,$J$32,IF(DS30=$G$33,$J$33,IF(DS30=$G$34,$J$34,IF(DS30=$G$35,$J$35,IF(DS30=$G$36,$J$36,""))))))))</f>
        <v>0</v>
      </c>
      <c r="DU30" s="52">
        <f t="shared" ref="DU30:DU49" si="32">IF(OR(DS30=0,DS30=""),0,IF(DS30=$G$37,$J$37,IF(DS30=$G$38,$J$38,IF(DS30=$G$39,$J$39,IF(DS30=$G$40,$J$40,IF(DS30=$G$41,$J$41,IF(DS30=$G$42,$J$42,IF(DS30=$G$43,$J$43,""))))))))</f>
        <v>0</v>
      </c>
      <c r="DV30" s="52">
        <f t="shared" ref="DV30:DV49" si="33">IF(OR(DS30=0,DS30=""),0,IF(DS30=$G$44,$J$44,IF(DS30=$G$45,$J$45,IF(DS30=$G$46,$J$46,IF(DS30=$G$47,$J$47,IF(DS30=$G$48,$J$48,IF(DS30=$G$49,$J$49,"")))))))</f>
        <v>0</v>
      </c>
      <c r="DW30" s="215">
        <f>IF(DS30="",0,MAX(DT30:DU30:DV30))</f>
        <v>0</v>
      </c>
      <c r="DX30" s="115" t="str">
        <f t="shared" ref="DX30:DX49" si="34">IF(DS30="","",IF(DS30=$G$30,$F$30,IF(DS30=$G$31,$F$31,IF(DS30=$G$32,$F$32,IF(DS30=$G$33,$F$33,IF(DS30=$G$34,$F$34,IF(DS30=$G$35,$F$35,IF(DS30=$G$36,$F$36,""))))))))</f>
        <v/>
      </c>
      <c r="DY30" s="51" t="str">
        <f t="shared" ref="DY30:DY49" si="35">IF(DS30="","",IF(DS30=$G$37,$F$37,IF(DS30=$G$38,$F$38,IF(DS30=$G$39,$F$39,IF(DS30=$G$40,$F$40,IF(DS30=$G$41,$F$41,IF(DS30=$G$42,$F$42,IF(DS30=$G$43,$F$43,""))))))))</f>
        <v/>
      </c>
      <c r="DZ30" s="51" t="str">
        <f t="shared" ref="DZ30:DZ49" si="36">IF(DS30="","",IF(DS30=$G$44,$F$44,IF(DS30=$G$45,$F$45,IF(DS30=$G$46,$F$46,IF(DS30=$G$47,$F$47,IF(DS30=$G$48,$F$48,IF(DS30=$G$49,$F$49,"")))))))</f>
        <v/>
      </c>
      <c r="EA30" s="49" t="str">
        <f>IF(DX30&lt;&gt;"",DX30,IF(DY30&lt;&gt;"",DY30,IF(DZ30&lt;&gt;"",DZ30,"")))</f>
        <v/>
      </c>
      <c r="EB30" s="52">
        <f t="shared" ref="EB30:EB49" si="37">IF(OR(EA30=0,EA30=""),0,IF(EA30=$G$30,$J$30,IF(EA30=$G$31,$J$31,IF(EA30=$G$32,$J$32,IF(EA30=$G$33,$J$33,IF(EA30=$G$34,$J$34,IF(EA30=$G$35,$J$35,IF(EA30=$G$36,$J$36,""))))))))</f>
        <v>0</v>
      </c>
      <c r="EC30" s="52">
        <f t="shared" ref="EC30:EC49" si="38">IF(OR(EA30=0,EA30=""),0,IF(EA30=$G$37,$J$37,IF(EA30=$G$38,$J$38,IF(EA30=$G$39,$J$39,IF(EA30=$G$40,$J$40,IF(EA30=$G$41,$J$41,IF(EA30=$G$42,$J$42,IF(EA30=$G$43,$J$43,""))))))))</f>
        <v>0</v>
      </c>
      <c r="ED30" s="52">
        <f t="shared" ref="ED30:ED49" si="39">IF(OR(EA30=0,EA30=""),0,IF(EA30=$G$44,$J$44,IF(EA30=$G$45,$J$45,IF(EA30=$G$46,$J$46,IF(EA30=$G$47,$J$47,IF(EA30=$G$48,$J$48,IF(EA30=$G$49,$J$49,"")))))))</f>
        <v>0</v>
      </c>
      <c r="EE30" s="215">
        <f>IF(EA30="",0,MAX(EB30:EC30:ED30))</f>
        <v>0</v>
      </c>
      <c r="EF30" s="115" t="str">
        <f t="shared" ref="EF30:EF49" si="40">IF(EA30="","",IF(EA30=$G$30,$F$30,IF(EA30=$G$31,$F$31,IF(EA30=$G$32,$F$32,IF(EA30=$G$33,$F$33,IF(EA30=$G$34,$F$34,IF(EA30=$G$35,$F$35,IF(EA30=$G$36,$F$36,""))))))))</f>
        <v/>
      </c>
      <c r="EG30" s="51" t="str">
        <f t="shared" ref="EG30:EG49" si="41">IF(EA30="","",IF(EA30=$G$37,$F$37,IF(EA30=$G$38,$F$38,IF(EA30=$G$39,$F$39,IF(EA30=$G$40,$F$40,IF(EA30=$G$41,$F$41,IF(EA30=$G$42,$F$42,IF(EA30=$G$43,$F$43,""))))))))</f>
        <v/>
      </c>
      <c r="EH30" s="51" t="str">
        <f t="shared" ref="EH30:EH49" si="42">IF(EA30="","",IF(EA30=$G$44,$F$44,IF(EA30=$G$45,$F$45,IF(EA30=$G$46,$F$46,IF(EA30=$G$47,$F$47,IF(EA30=$G$48,$F$48,IF(EA30=$G$49,$F$49,"")))))))</f>
        <v/>
      </c>
      <c r="EI30" s="49" t="str">
        <f>IF(EF30&lt;&gt;"",EF30,IF(EG30&lt;&gt;"",EG30,IF(EH30&lt;&gt;"",EH30,"")))</f>
        <v/>
      </c>
      <c r="EJ30" s="52">
        <f t="shared" ref="EJ30:EJ49" si="43">IF(OR(EI30=0,EI30=""),0,IF(EI30=$G$30,$J$30,IF(EI30=$G$31,$J$31,IF(EI30=$G$32,$J$32,IF(EI30=$G$33,$J$33,IF(EI30=$G$34,$J$34,IF(EI30=$G$35,$J$35,IF(EI30=$G$36,$J$36,""))))))))</f>
        <v>0</v>
      </c>
      <c r="EK30" s="52">
        <f t="shared" ref="EK30:EK49" si="44">IF(OR(EI30=0,EI30=""),0,IF(EI30=$G$37,$J$37,IF(EI30=$G$38,$J$38,IF(EI30=$G$39,$J$39,IF(EI30=$G$40,$J$40,IF(EI30=$G$41,$J$41,IF(EI30=$G$42,$J$42,IF(EI30=$G$43,$J$43,""))))))))</f>
        <v>0</v>
      </c>
      <c r="EL30" s="52">
        <f t="shared" ref="EL30:EL49" si="45">IF(OR(EI30=0,EI30=""),0,IF(EI30=$G$44,$J$44,IF(EI30=$G$45,$J$45,IF(EI30=$G$46,$J$46,IF(EI30=$G$47,$J$47,IF(EI30=$G$48,$J$48,IF(EI30=$G$49,$J$49,"")))))))</f>
        <v>0</v>
      </c>
      <c r="EM30" s="215">
        <f>IF(EI30="",0,MAX(EJ30:EK30:EL30))</f>
        <v>0</v>
      </c>
      <c r="EN30" s="115" t="str">
        <f t="shared" ref="EN30:EN49" si="46">IF(EI30="","",IF(EI30=$G$30,$F$30,IF(EI30=$G$31,$F$31,IF(EI30=$G$32,$F$32,IF(EI30=$G$33,$F$33,IF(EI30=$G$34,$F$34,IF(EI30=$G$35,$F$35,IF(EI30=$G$36,$F$36,""))))))))</f>
        <v/>
      </c>
      <c r="EO30" s="51" t="str">
        <f t="shared" ref="EO30:EO49" si="47">IF(EI30="","",IF(EI30=$G$37,$F$37,IF(EI30=$G$38,$F$38,IF(EI30=$G$39,$F$39,IF(EI30=$G$40,$F$40,IF(EI30=$G$41,$F$41,IF(EI30=$G$42,$F$42,IF(EI30=$G$43,$F$43,""))))))))</f>
        <v/>
      </c>
      <c r="EP30" s="51" t="str">
        <f t="shared" ref="EP30:EP49" si="48">IF(EI30="","",IF(EI30=$G$44,$F$44,IF(EI30=$G$45,$F$45,IF(EI30=$G$46,$F$46,IF(EI30=$G$47,$F$47,IF(EI30=$G$48,$F$48,IF(EI30=$G$49,$F$49,"")))))))</f>
        <v/>
      </c>
      <c r="EQ30" s="49" t="str">
        <f>IF(EN30&lt;&gt;"",EN30,IF(EO30&lt;&gt;"",EO30,IF(EP30&lt;&gt;"",EP30,"")))</f>
        <v/>
      </c>
      <c r="ER30" s="52">
        <f t="shared" ref="ER30:ER49" si="49">IF(OR(EQ30=0,EQ30=""),0,IF(EQ30=$G$30,$J$30,IF(EQ30=$G$31,$J$31,IF(EQ30=$G$32,$J$32,IF(EQ30=$G$33,$J$33,IF(EQ30=$G$34,$J$34,IF(EQ30=$G$35,$J$35,IF(EQ30=$G$36,$J$36,""))))))))</f>
        <v>0</v>
      </c>
      <c r="ES30" s="52">
        <f t="shared" ref="ES30:ES49" si="50">IF(OR(EQ30=0,EQ30=""),0,IF(EQ30=$G$37,$J$37,IF(EQ30=$G$38,$J$38,IF(EQ30=$G$39,$J$39,IF(EQ30=$G$40,$J$40,IF(EQ30=$G$41,$J$41,IF(EQ30=$G$42,$J$42,IF(EQ30=$G$43,$J$43,""))))))))</f>
        <v>0</v>
      </c>
      <c r="ET30" s="52">
        <f t="shared" ref="ET30:ET49" si="51">IF(OR(EQ30=0,EQ30=""),0,IF(EQ30=$G$44,$J$44,IF(EQ30=$G$45,$J$45,IF(EQ30=$G$46,$J$46,IF(EQ30=$G$47,$J$47,IF(EQ30=$G$48,$J$48,IF(EQ30=$G$49,$J$49,"")))))))</f>
        <v>0</v>
      </c>
      <c r="EU30" s="215">
        <f>IF(EQ30="",0,MAX(ER30:ES30:ET30))</f>
        <v>0</v>
      </c>
      <c r="EV30" s="115" t="str">
        <f t="shared" ref="EV30:EV49" si="52">IF(EQ30="","",IF(EQ30=$G$30,$F$30,IF(EQ30=$G$31,$F$31,IF(EQ30=$G$32,$F$32,IF(EQ30=$G$33,$F$33,IF(EQ30=$G$34,$F$34,IF(EQ30=$G$35,$F$35,IF(EQ30=$G$36,$F$36,""))))))))</f>
        <v/>
      </c>
      <c r="EW30" s="51" t="str">
        <f t="shared" ref="EW30:EW49" si="53">IF(EQ30="","",IF(EQ30=$G$37,$F$37,IF(EQ30=$G$38,$F$38,IF(EQ30=$G$39,$F$39,IF(EQ30=$G$40,$F$40,IF(EQ30=$G$41,$F$41,IF(EQ30=$G$42,$F$42,IF(EQ30=$G$43,$F$43,""))))))))</f>
        <v/>
      </c>
      <c r="EX30" s="51" t="str">
        <f t="shared" ref="EX30:EX49" si="54">IF(EQ30="","",IF(EQ30=$G$44,$F$44,IF(EQ30=$G$45,$F$45,IF(EQ30=$G$46,$F$46,IF(EQ30=$G$47,$F$47,IF(EQ30=$G$48,$F$48,IF(EQ30=$G$49,$F$49,"")))))))</f>
        <v/>
      </c>
      <c r="EY30" s="49" t="str">
        <f>IF(EV30&lt;&gt;"",EV30,IF(EW30&lt;&gt;"",EW30,IF(EX30&lt;&gt;"",EX30,"")))</f>
        <v/>
      </c>
      <c r="EZ30" s="52">
        <f t="shared" ref="EZ30:EZ49" si="55">IF(OR(EY30=0,EY30=""),0,IF(EY30=$G$30,$J$30,IF(EY30=$G$31,$J$31,IF(EY30=$G$32,$J$32,IF(EY30=$G$33,$J$33,IF(EY30=$G$34,$J$34,IF(EY30=$G$35,$J$35,IF(EY30=$G$36,$J$36,""))))))))</f>
        <v>0</v>
      </c>
      <c r="FA30" s="52">
        <f t="shared" ref="FA30:FA49" si="56">IF(OR(EY30=0,EY30=""),0,IF(EY30=$G$37,$J$37,IF(EY30=$G$38,$J$38,IF(EY30=$G$39,$J$39,IF(EY30=$G$40,$J$40,IF(EY30=$G$41,$J$41,IF(EY30=$G$42,$J$42,IF(EY30=$G$43,$J$43,""))))))))</f>
        <v>0</v>
      </c>
      <c r="FB30" s="52">
        <f t="shared" ref="FB30:FB49" si="57">IF(OR(EY30=0,EY30=""),0,IF(EY30=$G$44,$J$44,IF(EY30=$G$45,$J$45,IF(EY30=$G$46,$J$46,IF(EY30=$G$47,$J$47,IF(EY30=$G$48,$J$48,IF(EY30=$G$49,$J$49,"")))))))</f>
        <v>0</v>
      </c>
      <c r="FC30" s="215">
        <f>IF(EY30="",0,MAX(EZ30:FA30:FB30))</f>
        <v>0</v>
      </c>
      <c r="FD30" s="115" t="str">
        <f t="shared" ref="FD30:FD49" si="58">IF(EY30="","",IF(EY30=$G$30,$F$30,IF(EY30=$G$31,$F$31,IF(EY30=$G$32,$F$32,IF(EY30=$G$33,$F$33,IF(EY30=$G$34,$F$34,IF(EY30=$G$35,$F$35,IF(EY30=$G$36,$F$36,""))))))))</f>
        <v/>
      </c>
      <c r="FE30" s="51" t="str">
        <f t="shared" ref="FE30:FE49" si="59">IF(EY30="","",IF(EY30=$G$37,$F$37,IF(EY30=$G$38,$F$38,IF(EY30=$G$39,$F$39,IF(EY30=$G$40,$F$40,IF(EY30=$G$41,$F$41,IF(EY30=$G$42,$F$42,IF(EY30=$G$43,$F$43,""))))))))</f>
        <v/>
      </c>
      <c r="FF30" s="51" t="str">
        <f t="shared" ref="FF30:FF49" si="60">IF(EY30="","",IF(EY30=$G$44,$F$44,IF(EY30=$G$45,$F$45,IF(EY30=$G$46,$F$46,IF(EY30=$G$47,$F$47,IF(EY30=$G$48,$F$48,IF(EY30=$G$49,$F$49,"")))))))</f>
        <v/>
      </c>
      <c r="FG30" s="49" t="str">
        <f>IF(FD30&lt;&gt;"",FD30,IF(FE30&lt;&gt;"",FE30,IF(FF30&lt;&gt;"",FF30,"")))</f>
        <v/>
      </c>
      <c r="FH30" s="52">
        <f t="shared" ref="FH30:FH49" si="61">IF(OR(FG30=0,FG30=""),0,IF(FG30=$G$30,$J$30,IF(FG30=$G$31,$J$31,IF(FG30=$G$32,$J$32,IF(FG30=$G$33,$J$33,IF(FG30=$G$34,$J$34,IF(FG30=$G$35,$J$35,IF(FG30=$G$36,$J$36,""))))))))</f>
        <v>0</v>
      </c>
      <c r="FI30" s="52">
        <f t="shared" ref="FI30:FI49" si="62">IF(OR(FG30=0,FG30=""),0,IF(FG30=$G$37,$J$37,IF(FG30=$G$38,$J$38,IF(FG30=$G$39,$J$39,IF(FG30=$G$40,$J$40,IF(FG30=$G$41,$J$41,IF(FG30=$G$42,$J$42,IF(FG30=$G$43,$J$43,""))))))))</f>
        <v>0</v>
      </c>
      <c r="FJ30" s="52">
        <f t="shared" ref="FJ30:FJ49" si="63">IF(OR(FG30=0,FG30=""),0,IF(FG30=$G$44,$J$44,IF(FG30=$G$45,$J$45,IF(FG30=$G$46,$J$46,IF(FG30=$G$47,$J$47,IF(FG30=$G$48,$J$48,IF(FG30=$G$49,$J$49,"")))))))</f>
        <v>0</v>
      </c>
      <c r="FK30" s="215">
        <f>IF(FG30="",0,MAX(FH30:FI30:FJ30))</f>
        <v>0</v>
      </c>
      <c r="FL30" s="115" t="str">
        <f t="shared" ref="FL30:FL49" si="64">IF(FG30="","",IF(FG30=$G$30,$F$30,IF(FG30=$G$31,$F$31,IF(FG30=$G$32,$F$32,IF(FG30=$G$33,$F$33,IF(FG30=$G$34,$F$34,IF(FG30=$G$35,$F$35,IF(FG30=$G$36,$F$36,""))))))))</f>
        <v/>
      </c>
      <c r="FM30" s="51" t="str">
        <f t="shared" ref="FM30:FM49" si="65">IF(FG30="","",IF(FG30=$G$37,$F$37,IF(FG30=$G$38,$F$38,IF(FG30=$G$39,$F$39,IF(FG30=$G$40,$F$40,IF(FG30=$G$41,$F$41,IF(FG30=$G$42,$F$42,IF(FG30=$G$43,$F$43,""))))))))</f>
        <v/>
      </c>
      <c r="FN30" s="51" t="str">
        <f t="shared" ref="FN30:FN49" si="66">IF(FG30="","",IF(FG30=$G$44,$F$44,IF(FG30=$G$45,$F$45,IF(FG30=$G$46,$F$46,IF(FG30=$G$47,$F$47,IF(FG30=$G$48,$F$48,IF(FG30=$G$49,$F$49,"")))))))</f>
        <v/>
      </c>
      <c r="FO30" s="49" t="str">
        <f>IF(FL30&lt;&gt;"",FL30,IF(FM30&lt;&gt;"",FM30,IF(FN30&lt;&gt;"",FN30,"")))</f>
        <v/>
      </c>
      <c r="FP30" s="52">
        <f t="shared" ref="FP30:FP49" si="67">IF(OR(FO30=0,FO30=""),0,IF(FO30=$G$30,$J$30,IF(FO30=$G$31,$J$31,IF(FO30=$G$32,$J$32,IF(FO30=$G$33,$J$33,IF(FO30=$G$34,$J$34,IF(FO30=$G$35,$J$35,IF(FO30=$G$36,$J$36,""))))))))</f>
        <v>0</v>
      </c>
      <c r="FQ30" s="52">
        <f t="shared" ref="FQ30:FQ49" si="68">IF(OR(FO30=0,FO30=""),0,IF(FO30=$G$37,$J$37,IF(FO30=$G$38,$J$38,IF(FO30=$G$39,$J$39,IF(FO30=$G$40,$J$40,IF(FO30=$G$41,$J$41,IF(FO30=$G$42,$J$42,IF(FO30=$G$43,$J$43,""))))))))</f>
        <v>0</v>
      </c>
      <c r="FR30" s="52">
        <f t="shared" ref="FR30:FR49" si="69">IF(OR(FO30=0,FO30=""),0,IF(FO30=$G$44,$J$44,IF(FO30=$G$45,$J$45,IF(FO30=$G$46,$J$46,IF(FO30=$G$47,$J$47,IF(FO30=$G$48,$J$48,IF(FO30=$G$49,$J$49,"")))))))</f>
        <v>0</v>
      </c>
      <c r="FS30" s="215">
        <f>IF(FO30="",0,MAX(FP30:FQ30:FR30))</f>
        <v>0</v>
      </c>
      <c r="FT30" s="115" t="str">
        <f t="shared" ref="FT30:FT49" si="70">IF(FO30="","",IF(FO30=$G$30,$F$30,IF(FO30=$G$31,$F$31,IF(FO30=$G$32,$F$32,IF(FO30=$G$33,$F$33,IF(FO30=$G$34,$F$34,IF(FO30=$G$35,$F$35,IF(FO30=$G$36,$F$36,""))))))))</f>
        <v/>
      </c>
      <c r="FU30" s="51" t="str">
        <f t="shared" ref="FU30:FU49" si="71">IF(FO30="","",IF(FO30=$G$37,$F$37,IF(FO30=$G$38,$F$38,IF(FO30=$G$39,$F$39,IF(FO30=$G$40,$F$40,IF(FO30=$G$41,$F$41,IF(FO30=$G$42,$F$42,IF(FO30=$G$43,$F$43,""))))))))</f>
        <v/>
      </c>
      <c r="FV30" s="51" t="str">
        <f t="shared" ref="FV30:FV49" si="72">IF(FO30="","",IF(FO30=$G$44,$F$44,IF(FO30=$G$45,$F$45,IF(FO30=$G$46,$F$46,IF(FO30=$G$47,$F$47,IF(FO30=$G$48,$F$48,IF(FO30=$G$49,$F$49,"")))))))</f>
        <v/>
      </c>
      <c r="FW30" s="49" t="str">
        <f>IF(FT30&lt;&gt;"",FT30,IF(FU30&lt;&gt;"",FU30,IF(FV30&lt;&gt;"",FV30,"")))</f>
        <v/>
      </c>
      <c r="FX30" s="52">
        <f t="shared" ref="FX30:FX49" si="73">IF(OR(FW30=0,FW30=""),0,IF(FW30=$G$30,$J$30,IF(FW30=$G$31,$J$31,IF(FW30=$G$32,$J$32,IF(FW30=$G$33,$J$33,IF(FW30=$G$34,$J$34,IF(FW30=$G$35,$J$35,IF(FW30=$G$36,$J$36,""))))))))</f>
        <v>0</v>
      </c>
      <c r="FY30" s="52">
        <f t="shared" ref="FY30:FY49" si="74">IF(OR(FW30=0,FW30=""),0,IF(FW30=$G$37,$J$37,IF(FW30=$G$38,$J$38,IF(FW30=$G$39,$J$39,IF(FW30=$G$40,$J$40,IF(FW30=$G$41,$J$41,IF(FW30=$G$42,$J$42,IF(FW30=$G$43,$J$43,""))))))))</f>
        <v>0</v>
      </c>
      <c r="FZ30" s="52">
        <f t="shared" ref="FZ30:FZ49" si="75">IF(OR(FW30=0,FW30=""),0,IF(FW30=$G$44,$J$44,IF(FW30=$G$45,$J$45,IF(FW30=$G$46,$J$46,IF(FW30=$G$47,$J$47,IF(FW30=$G$48,$J$48,IF(FW30=$G$49,$J$49,"")))))))</f>
        <v>0</v>
      </c>
      <c r="GA30" s="215">
        <f>IF(FW30="",0,MAX(FX30:FY30:FZ30))</f>
        <v>0</v>
      </c>
      <c r="GB30" s="115" t="str">
        <f t="shared" ref="GB30:GB49" si="76">IF(FW30="","",IF(FW30=$G$30,$F$30,IF(FW30=$G$31,$F$31,IF(FW30=$G$32,$F$32,IF(FW30=$G$33,$F$33,IF(FW30=$G$34,$F$34,IF(FW30=$G$35,$F$35,IF(FW30=$G$36,$F$36,""))))))))</f>
        <v/>
      </c>
      <c r="GC30" s="51" t="str">
        <f t="shared" ref="GC30:GC49" si="77">IF(FW30="","",IF(FW30=$G$37,$F$37,IF(FW30=$G$38,$F$38,IF(FW30=$G$39,$F$39,IF(FW30=$G$40,$F$40,IF(FW30=$G$41,$F$41,IF(FW30=$G$42,$F$42,IF(FW30=$G$43,$F$43,""))))))))</f>
        <v/>
      </c>
      <c r="GD30" s="51" t="str">
        <f t="shared" ref="GD30:GD49" si="78">IF(FW30="","",IF(FW30=$G$44,$F$44,IF(FW30=$G$45,$F$45,IF(FW30=$G$46,$F$46,IF(FW30=$G$47,$F$47,IF(FW30=$G$48,$F$48,IF(FW30=$G$49,$F$49,"")))))))</f>
        <v/>
      </c>
      <c r="GE30" s="49" t="str">
        <f>IF(GB30&lt;&gt;"",GB30,IF(GC30&lt;&gt;"",GC30,IF(GD30&lt;&gt;"",GD30,"")))</f>
        <v/>
      </c>
      <c r="GF30" s="52">
        <f t="shared" ref="GF30:GF49" si="79">IF(OR(GE30=0,GE30=""),0,IF(GE30=$G$30,$J$30,IF(GE30=$G$31,$J$31,IF(GE30=$G$32,$J$32,IF(GE30=$G$33,$J$33,IF(GE30=$G$34,$J$34,IF(GE30=$G$35,$J$35,IF(GE30=$G$36,$J$36,""))))))))</f>
        <v>0</v>
      </c>
      <c r="GG30" s="52">
        <f t="shared" ref="GG30:GG49" si="80">IF(OR(GE30=0,GE30=""),0,IF(GE30=$G$37,$J$37,IF(GE30=$G$38,$J$38,IF(GE30=$G$39,$J$39,IF(GE30=$G$40,$J$40,IF(GE30=$G$41,$J$41,IF(GE30=$G$42,$J$42,IF(GE30=$G$43,$J$43,""))))))))</f>
        <v>0</v>
      </c>
      <c r="GH30" s="52">
        <f t="shared" ref="GH30:GH49" si="81">IF(OR(GE30=0,GE30=""),0,IF(GE30=$G$44,$J$44,IF(GE30=$G$45,$J$45,IF(GE30=$G$46,$J$46,IF(GE30=$G$47,$J$47,IF(GE30=$G$48,$J$48,IF(GE30=$G$49,$J$49,"")))))))</f>
        <v>0</v>
      </c>
      <c r="GI30" s="215">
        <f>IF(GE30="",0,MAX(GF30:GG30:GH30))</f>
        <v>0</v>
      </c>
      <c r="GJ30" s="115" t="str">
        <f t="shared" ref="GJ30:GJ49" si="82">IF(GE30="","",IF(GE30=$G$30,$F$30,IF(GE30=$G$31,$F$31,IF(GE30=$G$32,$F$32,IF(GE30=$G$33,$F$33,IF(GE30=$G$34,$F$34,IF(GE30=$G$35,$F$35,IF(GE30=$G$36,$F$36,""))))))))</f>
        <v/>
      </c>
      <c r="GK30" s="51" t="str">
        <f t="shared" ref="GK30:GK49" si="83">IF(GE30="","",IF(GE30=$G$37,$F$37,IF(GE30=$G$38,$F$38,IF(GE30=$G$39,$F$39,IF(GE30=$G$40,$F$40,IF(GE30=$G$41,$F$41,IF(GE30=$G$42,$F$42,IF(GE30=$G$43,$F$43,""))))))))</f>
        <v/>
      </c>
      <c r="GL30" s="51" t="str">
        <f t="shared" ref="GL30:GL49" si="84">IF(GE30="","",IF(GE30=$G$44,$F$44,IF(GE30=$G$45,$F$45,IF(GE30=$G$46,$F$46,IF(GE30=$G$47,$F$47,IF(GE30=$G$48,$F$48,IF(GE30=$G$49,$F$49,"")))))))</f>
        <v/>
      </c>
      <c r="GM30" s="49" t="str">
        <f>IF(GJ30&lt;&gt;"",GJ30,IF(GK30&lt;&gt;"",GK30,IF(GL30&lt;&gt;"",GL30,"")))</f>
        <v/>
      </c>
      <c r="GN30" s="52">
        <f t="shared" ref="GN30:GN49" si="85">IF(OR(GM30=0,GM30=""),0,IF(GM30=$G$30,$J$30,IF(GM30=$G$31,$J$31,IF(GM30=$G$32,$J$32,IF(GM30=$G$33,$J$33,IF(GM30=$G$34,$J$34,IF(GM30=$G$35,$J$35,IF(GM30=$G$36,$J$36,""))))))))</f>
        <v>0</v>
      </c>
      <c r="GO30" s="52">
        <f t="shared" ref="GO30:GO49" si="86">IF(OR(GM30=0,GM30=""),0,IF(GM30=$G$37,$J$37,IF(GM30=$G$38,$J$38,IF(GM30=$G$39,$J$39,IF(GM30=$G$40,$J$40,IF(GM30=$G$41,$J$41,IF(GM30=$G$42,$J$42,IF(GM30=$G$43,$J$43,""))))))))</f>
        <v>0</v>
      </c>
      <c r="GP30" s="52">
        <f t="shared" ref="GP30:GP49" si="87">IF(OR(GM30=0,GM30=""),0,IF(GM30=$G$44,$J$44,IF(GM30=$G$45,$J$45,IF(GM30=$G$46,$J$46,IF(GM30=$G$47,$J$47,IF(GM30=$G$48,$J$48,IF(GM30=$G$49,$J$49,"")))))))</f>
        <v>0</v>
      </c>
      <c r="GQ30" s="215">
        <f>IF(GM30="",0,MAX(GN30:GO30:GP30))</f>
        <v>0</v>
      </c>
      <c r="GR30" s="115" t="str">
        <f t="shared" ref="GR30:GR49" si="88">IF(GM30="","",IF(GM30=$G$30,$F$30,IF(GM30=$G$31,$F$31,IF(GM30=$G$32,$F$32,IF(GM30=$G$33,$F$33,IF(GM30=$G$34,$F$34,IF(GM30=$G$35,$F$35,IF(GM30=$G$36,$F$36,""))))))))</f>
        <v/>
      </c>
      <c r="GS30" s="51" t="str">
        <f t="shared" ref="GS30:GS49" si="89">IF(GM30="","",IF(GM30=$G$37,$F$37,IF(GM30=$G$38,$F$38,IF(GM30=$G$39,$F$39,IF(GM30=$G$40,$F$40,IF(GM30=$G$41,$F$41,IF(GM30=$G$42,$F$42,IF(GM30=$G$43,$F$43,""))))))))</f>
        <v/>
      </c>
      <c r="GT30" s="51" t="str">
        <f t="shared" ref="GT30:GT49" si="90">IF(GM30="","",IF(GM30=$G$44,$F$44,IF(GM30=$G$45,$F$45,IF(GM30=$G$46,$F$46,IF(GM30=$G$47,$F$47,IF(GM30=$G$48,$F$48,IF(GM30=$G$49,$F$49,"")))))))</f>
        <v/>
      </c>
      <c r="GU30" s="49" t="str">
        <f>IF(GR30&lt;&gt;"",GR30,IF(GS30&lt;&gt;"",GS30,IF(GT30&lt;&gt;"",GT30,"")))</f>
        <v/>
      </c>
      <c r="GV30" s="52">
        <f t="shared" ref="GV30:GV49" si="91">IF(OR(GU30=0,GU30=""),0,IF(GU30=$G$30,$J$30,IF(GU30=$G$31,$J$31,IF(GU30=$G$32,$J$32,IF(GU30=$G$33,$J$33,IF(GU30=$G$34,$J$34,IF(GU30=$G$35,$J$35,IF(GU30=$G$36,$J$36,""))))))))</f>
        <v>0</v>
      </c>
      <c r="GW30" s="52">
        <f t="shared" ref="GW30:GW49" si="92">IF(OR(GU30=0,GU30=""),0,IF(GU30=$G$37,$J$37,IF(GU30=$G$38,$J$38,IF(GU30=$G$39,$J$39,IF(GU30=$G$40,$J$40,IF(GU30=$G$41,$J$41,IF(GU30=$G$42,$J$42,IF(GU30=$G$43,$J$43,""))))))))</f>
        <v>0</v>
      </c>
      <c r="GX30" s="52">
        <f t="shared" ref="GX30:GX49" si="93">IF(OR(GU30=0,GU30=""),0,IF(GU30=$G$44,$J$44,IF(GU30=$G$45,$J$45,IF(GU30=$G$46,$J$46,IF(GU30=$G$47,$J$47,IF(GU30=$G$48,$J$48,IF(GU30=$G$49,$J$49,"")))))))</f>
        <v>0</v>
      </c>
      <c r="GY30" s="215">
        <f>IF(GU30="",0,MAX(GV30:GW30:GX30))</f>
        <v>0</v>
      </c>
      <c r="GZ30" s="115" t="str">
        <f t="shared" ref="GZ30:GZ49" si="94">IF(GU30="","",IF(GU30=$G$30,$F$30,IF(GU30=$G$31,$F$31,IF(GU30=$G$32,$F$32,IF(GU30=$G$33,$F$33,IF(GU30=$G$34,$F$34,IF(GU30=$G$35,$F$35,IF(GU30=$G$36,$F$36,""))))))))</f>
        <v/>
      </c>
      <c r="HA30" s="51" t="str">
        <f t="shared" ref="HA30:HA49" si="95">IF(GU30="","",IF(GU30=$G$37,$F$37,IF(GU30=$G$38,$F$38,IF(GU30=$G$39,$F$39,IF(GU30=$G$40,$F$40,IF(GU30=$G$41,$F$41,IF(GU30=$G$42,$F$42,IF(GU30=$G$43,$F$43,""))))))))</f>
        <v/>
      </c>
      <c r="HB30" s="51" t="str">
        <f t="shared" ref="HB30:HB49" si="96">IF(GU30="","",IF(GU30=$G$44,$F$44,IF(GU30=$G$45,$F$45,IF(GU30=$G$46,$F$46,IF(GU30=$G$47,$F$47,IF(GU30=$G$48,$F$48,IF(GU30=$G$49,$F$49,"")))))))</f>
        <v/>
      </c>
      <c r="HC30" s="49" t="str">
        <f>IF(GZ30&lt;&gt;"",GZ30,IF(HA30&lt;&gt;"",HA30,IF(HB30&lt;&gt;"",HB30,"")))</f>
        <v/>
      </c>
      <c r="HD30" s="52">
        <f t="shared" ref="HD30:HD49" si="97">IF(OR(HC30=0,HC30=""),0,IF(HC30=$G$30,$J$30,IF(HC30=$G$31,$J$31,IF(HC30=$G$32,$J$32,IF(HC30=$G$33,$J$33,IF(HC30=$G$34,$J$34,IF(HC30=$G$35,$J$35,IF(HC30=$G$36,$J$36,""))))))))</f>
        <v>0</v>
      </c>
      <c r="HE30" s="52">
        <f t="shared" ref="HE30:HE49" si="98">IF(OR(HC30=0,HC30=""),0,IF(HC30=$G$37,$J$37,IF(HC30=$G$38,$J$38,IF(HC30=$G$39,$J$39,IF(HC30=$G$40,$J$40,IF(HC30=$G$41,$J$41,IF(HC30=$G$42,$J$42,IF(HC30=$G$43,$J$43,""))))))))</f>
        <v>0</v>
      </c>
      <c r="HF30" s="52">
        <f t="shared" ref="HF30:HF49" si="99">IF(OR(HC30=0,HC30=""),0,IF(HC30=$G$44,$J$44,IF(HC30=$G$45,$J$45,IF(HC30=$G$46,$J$46,IF(HC30=$G$47,$J$47,IF(HC30=$G$48,$J$48,IF(HC30=$G$49,$J$49,"")))))))</f>
        <v>0</v>
      </c>
      <c r="HG30" s="215">
        <f>IF(HC30="",0,MAX(HD30:HE30:HF30))</f>
        <v>0</v>
      </c>
      <c r="HH30" s="115" t="str">
        <f t="shared" ref="HH30:HH49" si="100">IF(HC30="","",IF(HC30=$G$30,$F$30,IF(HC30=$G$31,$F$31,IF(HC30=$G$32,$F$32,IF(HC30=$G$33,$F$33,IF(HC30=$G$34,$F$34,IF(HC30=$G$35,$F$35,IF(HC30=$G$36,$F$36,""))))))))</f>
        <v/>
      </c>
      <c r="HI30" s="51" t="str">
        <f t="shared" ref="HI30:HI49" si="101">IF(HC30="","",IF(HC30=$G$37,$F$37,IF(HC30=$G$38,$F$38,IF(HC30=$G$39,$F$39,IF(HC30=$G$40,$F$40,IF(HC30=$G$41,$F$41,IF(HC30=$G$42,$F$42,IF(HC30=$G$43,$F$43,""))))))))</f>
        <v/>
      </c>
      <c r="HJ30" s="51" t="str">
        <f t="shared" ref="HJ30:HJ49" si="102">IF(HC30="","",IF(HC30=$G$44,$F$44,IF(HC30=$G$45,$F$45,IF(HC30=$G$46,$F$46,IF(HC30=$G$47,$F$47,IF(HC30=$G$48,$F$48,IF(HC30=$G$49,$F$49,"")))))))</f>
        <v/>
      </c>
      <c r="HK30" s="49" t="str">
        <f>IF(HH30&lt;&gt;"",HH30,IF(HI30&lt;&gt;"",HI30,IF(HJ30&lt;&gt;"",HJ30,"")))</f>
        <v/>
      </c>
      <c r="HL30" s="52">
        <f t="shared" ref="HL30:HL49" si="103">IF(OR(HK30=0,HK30=""),0,IF(HK30=$G$30,$J$30,IF(HK30=$G$31,$J$31,IF(HK30=$G$32,$J$32,IF(HK30=$G$33,$J$33,IF(HK30=$G$34,$J$34,IF(HK30=$G$35,$J$35,IF(HK30=$G$36,$J$36,""))))))))</f>
        <v>0</v>
      </c>
      <c r="HM30" s="52">
        <f t="shared" ref="HM30:HM49" si="104">IF(OR(HK30=0,HK30=""),0,IF(HK30=$G$37,$J$37,IF(HK30=$G$38,$J$38,IF(HK30=$G$39,$J$39,IF(HK30=$G$40,$J$40,IF(HK30=$G$41,$J$41,IF(HK30=$G$42,$J$42,IF(HK30=$G$43,$J$43,""))))))))</f>
        <v>0</v>
      </c>
      <c r="HN30" s="52">
        <f t="shared" ref="HN30:HN49" si="105">IF(OR(HK30=0,HK30=""),0,IF(HK30=$G$44,$J$44,IF(HK30=$G$45,$J$45,IF(HK30=$G$46,$J$46,IF(HK30=$G$47,$J$47,IF(HK30=$G$48,$J$48,IF(HK30=$G$49,$J$49,"")))))))</f>
        <v>0</v>
      </c>
      <c r="HO30" s="215">
        <f>IF(HK30="",0,MAX(HL30:HM30:HN30))</f>
        <v>0</v>
      </c>
      <c r="HP30" s="115" t="str">
        <f t="shared" ref="HP30:HP49" si="106">IF(HK30="","",IF(HK30=$G$30,$F$30,IF(HK30=$G$31,$F$31,IF(HK30=$G$32,$F$32,IF(HK30=$G$33,$F$33,IF(HK30=$G$34,$F$34,IF(HK30=$G$35,$F$35,IF(HK30=$G$36,$F$36,""))))))))</f>
        <v/>
      </c>
      <c r="HQ30" s="51" t="str">
        <f t="shared" ref="HQ30:HQ49" si="107">IF(HK30="","",IF(HK30=$G$37,$F$37,IF(HK30=$G$38,$F$38,IF(HK30=$G$39,$F$39,IF(HK30=$G$40,$F$40,IF(HK30=$G$41,$F$41,IF(HK30=$G$42,$F$42,IF(HK30=$G$43,$F$43,""))))))))</f>
        <v/>
      </c>
      <c r="HR30" s="51" t="str">
        <f t="shared" ref="HR30:HR49" si="108">IF(HK30="","",IF(HK30=$G$44,$F$44,IF(HK30=$G$45,$F$45,IF(HK30=$G$46,$F$46,IF(HK30=$G$47,$F$47,IF(HK30=$G$48,$F$48,IF(HK30=$G$49,$F$49,"")))))))</f>
        <v/>
      </c>
      <c r="HS30" s="49" t="str">
        <f>IF(HP30&lt;&gt;"",HP30,IF(HQ30&lt;&gt;"",HQ30,IF(HR30&lt;&gt;"",HR30,"")))</f>
        <v/>
      </c>
      <c r="HT30" s="52">
        <f t="shared" ref="HT30:HT49" si="109">IF(OR(HS30=0,HS30=""),0,IF(HS30=$G$30,$J$30,IF(HS30=$G$31,$J$31,IF(HS30=$G$32,$J$32,IF(HS30=$G$33,$J$33,IF(HS30=$G$34,$J$34,IF(HS30=$G$35,$J$35,IF(HS30=$G$36,$J$36,""))))))))</f>
        <v>0</v>
      </c>
      <c r="HU30" s="52">
        <f t="shared" ref="HU30:HU49" si="110">IF(OR(HS30=0,HS30=""),0,IF(HS30=$G$37,$J$37,IF(HS30=$G$38,$J$38,IF(HS30=$G$39,$J$39,IF(HS30=$G$40,$J$40,IF(HS30=$G$41,$J$41,IF(HS30=$G$42,$J$42,IF(HS30=$G$43,$J$43,""))))))))</f>
        <v>0</v>
      </c>
      <c r="HV30" s="52">
        <f t="shared" ref="HV30:HV49" si="111">IF(OR(HS30=0,HS30=""),0,IF(HS30=$G$44,$J$44,IF(HS30=$G$45,$J$45,IF(HS30=$G$46,$J$46,IF(HS30=$G$47,$J$47,IF(HS30=$G$48,$J$48,IF(HS30=$G$49,$J$49,"")))))))</f>
        <v>0</v>
      </c>
      <c r="HW30" s="215">
        <f>IF(HS30="",0,MAX(HT30:HU30:HV30))</f>
        <v>0</v>
      </c>
      <c r="HX30" s="115" t="str">
        <f t="shared" ref="HX30:HX49" si="112">IF(HS30="","",IF(HS30=$G$30,$F$30,IF(HS30=$G$31,$F$31,IF(HS30=$G$32,$F$32,IF(HS30=$G$33,$F$33,IF(HS30=$G$34,$F$34,IF(HS30=$G$35,$F$35,IF(HS30=$G$36,$F$36,""))))))))</f>
        <v/>
      </c>
      <c r="HY30" s="51" t="str">
        <f t="shared" ref="HY30:HY49" si="113">IF(HS30="","",IF(HS30=$G$37,$F$37,IF(HS30=$G$38,$F$38,IF(HS30=$G$39,$F$39,IF(HS30=$G$40,$F$40,IF(HS30=$G$41,$F$41,IF(HS30=$G$42,$F$42,IF(HS30=$G$43,$F$43,""))))))))</f>
        <v/>
      </c>
      <c r="HZ30" s="51" t="str">
        <f t="shared" ref="HZ30:HZ49" si="114">IF(HS30="","",IF(HS30=$G$44,$F$44,IF(HS30=$G$45,$F$45,IF(HS30=$G$46,$F$46,IF(HS30=$G$47,$F$47,IF(HS30=$G$48,$F$48,IF(HS30=$G$49,$F$49,"")))))))</f>
        <v/>
      </c>
      <c r="IA30" s="49" t="str">
        <f>IF(HX30&lt;&gt;"",HX30,IF(HY30&lt;&gt;"",HY30,IF(HZ30&lt;&gt;"",HZ30,"")))</f>
        <v/>
      </c>
      <c r="IB30" s="52">
        <f t="shared" ref="IB30:IB49" si="115">IF(OR(IA30=0,IA30=""),0,IF(IA30=$G$30,$J$30,IF(IA30=$G$31,$J$31,IF(IA30=$G$32,$J$32,IF(IA30=$G$33,$J$33,IF(IA30=$G$34,$J$34,IF(IA30=$G$35,$J$35,IF(IA30=$G$36,$J$36,""))))))))</f>
        <v>0</v>
      </c>
      <c r="IC30" s="52">
        <f t="shared" ref="IC30:IC49" si="116">IF(OR(IA30=0,IA30=""),0,IF(IA30=$G$37,$J$37,IF(IA30=$G$38,$J$38,IF(IA30=$G$39,$J$39,IF(IA30=$G$40,$J$40,IF(IA30=$G$41,$J$41,IF(IA30=$G$42,$J$42,IF(IA30=$G$43,$J$43,""))))))))</f>
        <v>0</v>
      </c>
      <c r="ID30" s="52">
        <f t="shared" ref="ID30:ID49" si="117">IF(OR(IA30=0,IA30=""),0,IF(IA30=$G$44,$J$44,IF(IA30=$G$45,$J$45,IF(IA30=$G$46,$J$46,IF(IA30=$G$47,$J$47,IF(IA30=$G$48,$J$48,IF(IA30=$G$49,$J$49,"")))))))</f>
        <v>0</v>
      </c>
      <c r="IE30" s="215">
        <f>IF(IA30="",0,MAX(IB30:IC30:ID30))</f>
        <v>0</v>
      </c>
      <c r="IF30" s="115" t="str">
        <f t="shared" ref="IF30:IF49" si="118">IF(IA30="","",IF(IA30=$G$30,$F$30,IF(IA30=$G$31,$F$31,IF(IA30=$G$32,$F$32,IF(IA30=$G$33,$F$33,IF(IA30=$G$34,$F$34,IF(IA30=$G$35,$F$35,IF(IA30=$G$36,$F$36,""))))))))</f>
        <v/>
      </c>
      <c r="IG30" s="51" t="str">
        <f t="shared" ref="IG30:IG49" si="119">IF(IA30="","",IF(IA30=$G$37,$F$37,IF(IA30=$G$38,$F$38,IF(IA30=$G$39,$F$39,IF(IA30=$G$40,$F$40,IF(IA30=$G$41,$F$41,IF(IA30=$G$42,$F$42,IF(IA30=$G$43,$F$43,""))))))))</f>
        <v/>
      </c>
      <c r="IH30" s="51" t="str">
        <f t="shared" ref="IH30:IH49" si="120">IF(IA30="","",IF(IA30=$G$44,$F$44,IF(IA30=$G$45,$F$45,IF(IA30=$G$46,$F$46,IF(IA30=$G$47,$F$47,IF(IA30=$G$48,$F$48,IF(IA30=$G$49,$F$49,"")))))))</f>
        <v/>
      </c>
      <c r="II30" s="49" t="str">
        <f>IF(IF30&lt;&gt;"",IF30,IF(IG30&lt;&gt;"",IG30,IF(IH30&lt;&gt;"",IH30,"")))</f>
        <v/>
      </c>
      <c r="IJ30" s="52">
        <f t="shared" ref="IJ30:IJ49" si="121">IF(OR(II30=0,II30=""),0,IF(II30=$G$30,$J$30,IF(II30=$G$31,$J$31,IF(II30=$G$32,$J$32,IF(II30=$G$33,$J$33,IF(II30=$G$34,$J$34,IF(II30=$G$35,$J$35,IF(II30=$G$36,$J$36,""))))))))</f>
        <v>0</v>
      </c>
      <c r="IK30" s="52">
        <f t="shared" ref="IK30:IK49" si="122">IF(OR(II30=0,II30=""),0,IF(II30=$G$37,$J$37,IF(II30=$G$38,$J$38,IF(II30=$G$39,$J$39,IF(II30=$G$40,$J$40,IF(II30=$G$41,$J$41,IF(II30=$G$42,$J$42,IF(II30=$G$43,$J$43,""))))))))</f>
        <v>0</v>
      </c>
      <c r="IL30" s="52">
        <f t="shared" ref="IL30:IL49" si="123">IF(OR(II30=0,II30=""),0,IF(II30=$G$44,$J$44,IF(II30=$G$45,$J$45,IF(II30=$G$46,$J$46,IF(II30=$G$47,$J$47,IF(II30=$G$48,$J$48,IF(II30=$G$49,$J$49,"")))))))</f>
        <v>0</v>
      </c>
      <c r="IM30" s="215">
        <f>IF(II30="",0,MAX(IJ30:IK30:IL30))</f>
        <v>0</v>
      </c>
      <c r="IN30" s="115" t="str">
        <f t="shared" ref="IN30:IN49" si="124">IF(II30="","",IF(II30=$G$30,$F$30,IF(II30=$G$31,$F$31,IF(II30=$G$32,$F$32,IF(II30=$G$33,$F$33,IF(II30=$G$34,$F$34,IF(II30=$G$35,$F$35,IF(II30=$G$36,$F$36,""))))))))</f>
        <v/>
      </c>
      <c r="IO30" s="51" t="str">
        <f t="shared" ref="IO30:IO49" si="125">IF(II30="","",IF(II30=$G$37,$F$37,IF(II30=$G$38,$F$38,IF(II30=$G$39,$F$39,IF(II30=$G$40,$F$40,IF(II30=$G$41,$F$41,IF(II30=$G$42,$F$42,IF(II30=$G$43,$F$43,""))))))))</f>
        <v/>
      </c>
      <c r="IP30" s="51" t="str">
        <f t="shared" ref="IP30:IP49" si="126">IF(II30="","",IF(II30=$G$44,$F$44,IF(II30=$G$45,$F$45,IF(II30=$G$46,$F$46,IF(II30=$G$47,$F$47,IF(II30=$G$48,$F$48,IF(II30=$G$49,$F$49,"")))))))</f>
        <v/>
      </c>
      <c r="IQ30" s="49" t="str">
        <f>IF(IN30&lt;&gt;"",IN30,IF(IO30&lt;&gt;"",IO30,IF(IP30&lt;&gt;"",IP30,"")))</f>
        <v/>
      </c>
      <c r="IR30" s="52">
        <f t="shared" ref="IR30:IR49" si="127">IF(OR(IQ30=0,IQ30=""),0,IF(IQ30=$G$30,$J$30,IF(IQ30=$G$31,$J$31,IF(IQ30=$G$32,$J$32,IF(IQ30=$G$33,$J$33,IF(IQ30=$G$34,$J$34,IF(IQ30=$G$35,$J$35,IF(IQ30=$G$36,$J$36,""))))))))</f>
        <v>0</v>
      </c>
      <c r="IS30" s="52">
        <f t="shared" ref="IS30:IS49" si="128">IF(OR(IQ30=0,IQ30=""),0,IF(IQ30=$G$37,$J$37,IF(IQ30=$G$38,$J$38,IF(IQ30=$G$39,$J$39,IF(IQ30=$G$40,$J$40,IF(IQ30=$G$41,$J$41,IF(IQ30=$G$42,$J$42,IF(IQ30=$G$43,$J$43,""))))))))</f>
        <v>0</v>
      </c>
      <c r="IT30" s="52">
        <f t="shared" ref="IT30:IT49" si="129">IF(OR(IQ30=0,IQ30=""),0,IF(IQ30=$G$44,$J$44,IF(IQ30=$G$45,$J$45,IF(IQ30=$G$46,$J$46,IF(IQ30=$G$47,$J$47,IF(IQ30=$G$48,$J$48,IF(IQ30=$G$49,$J$49,"")))))))</f>
        <v>0</v>
      </c>
      <c r="IU30" s="215">
        <f>IF(IQ30="",0,MAX(IR30:IS30:IT30))</f>
        <v>0</v>
      </c>
    </row>
    <row r="31" spans="1:255" s="16" customFormat="1" ht="18" customHeight="1" thickTop="1" thickBot="1" x14ac:dyDescent="0.35">
      <c r="A31" s="902" t="str">
        <f t="shared" ref="A31:A49" si="130">IF(OR(K31="",ABS(K31)&lt;=J31),"",1)</f>
        <v/>
      </c>
      <c r="B31" s="903"/>
      <c r="C31" s="708"/>
      <c r="D31" s="709" t="str">
        <f t="shared" ref="D31:D49" si="131">IF(OR(F31="",G31=""),"",1)</f>
        <v/>
      </c>
      <c r="E31" s="843" t="str">
        <f>IF(D31="","",SUM(D$30:D31))</f>
        <v/>
      </c>
      <c r="F31" s="951"/>
      <c r="G31" s="952"/>
      <c r="H31" s="953"/>
      <c r="I31" s="954"/>
      <c r="J31" s="955"/>
      <c r="K31" s="956"/>
      <c r="L31" s="925"/>
      <c r="M31" s="927" t="str">
        <f t="shared" ref="M31:M49" si="132">IF(J31="","",IF(L31="",ABS(J31)*(1+$L$13),ABS(J31)+L31))</f>
        <v/>
      </c>
      <c r="N31" s="934" t="str">
        <f>IF(AND(H31="",I31=""),"",IF($D$19="x",1,IF($K$16="",LOOKUP((H31+I31),'Quadro 2 Ordenado'!$B$6:'Quadro 2 Ordenado'!$B$107,'Quadro 2 Ordenado'!$C$6:'Quadro 2 Ordenado'!$C$107),LOOKUP((H31+I31),'Quadro 2 Ordenado'!$B$6:'Quadro 2 Ordenado'!$B$107,'Quadro 2 Ordenado'!$D$6:'Quadro 2 Ordenado'!$D$107))))</f>
        <v/>
      </c>
      <c r="O31" s="50"/>
      <c r="P31" s="928" t="str">
        <f t="shared" ref="P31:P49" si="133">IF(OR(AND(H31="",I31=""),N31=""),"",N31*($AC$15*H31+$AM$15*I31))</f>
        <v/>
      </c>
      <c r="S31" s="935" t="str">
        <f t="shared" si="5"/>
        <v/>
      </c>
      <c r="T31" s="111" t="str">
        <f t="shared" si="6"/>
        <v/>
      </c>
      <c r="U31" s="926"/>
      <c r="V31" s="610" t="str">
        <f>IF(T31="","",IF(U31&lt;&gt;"",U31,T31))</f>
        <v/>
      </c>
      <c r="W31" s="936" t="str">
        <f>IF(OR(T31="",T31=0),"",IF($V31&gt;'Quadro 3'!$F$23,'Quadro 3'!$F$23,IF($V31&lt;'Quadro 3'!$F$10,'Quadro 3'!$F$10,MIN($X31,$Y31))))</f>
        <v/>
      </c>
      <c r="X31" s="937" t="str">
        <f>IF($V31&lt;='Quadro 3'!$F$10,'Quadro 3'!$F$10,IF($V31&lt;='Quadro 3'!$F$11,'Quadro 3'!$F$11,IF($V31&lt;='Quadro 3'!$F$12,'Quadro 3'!$F$12,IF($V31&lt;='Quadro 3'!$F$13,'Quadro 3'!$F$13,IF($V31&lt;='Quadro 3'!$F$14,'Quadro 3'!$F$14,IF($V31&lt;='Quadro 3'!$F$15,'Quadro 3'!$F$15,IF($V31&lt;='Quadro 3'!$F$16,'Quadro 3'!$F$16,"")))))))</f>
        <v/>
      </c>
      <c r="Y31" s="938" t="str">
        <f>IF(OR(T31="",T31=0),"",IF($V31&lt;='Quadro 3'!$F$17,'Quadro 3'!$F$17,IF($V31&lt;='Quadro 3'!$F$18,'Quadro 3'!$F$18,IF($V31&lt;='Quadro 3'!$F$19,'Quadro 3'!$F$19,IF($V31&lt;='Quadro 3'!$F$20,'Quadro 3'!$F$20,IF($V31&lt;='Quadro 3'!$F$21,'Quadro 3'!$F$21,IF($V31&lt;='Quadro 3'!$F$22,'Quadro 3'!$F$22,IF($V31&lt;='Quadro 3'!$F$23,'Quadro 3'!$F$23,'Quadro 3'!$F$23))))))))</f>
        <v/>
      </c>
      <c r="Z31" s="936" t="str">
        <f>IF($W31="","",LOOKUP($W31,'Quadro 3'!$F$9:$F$23,'Quadro 3'!$G$9:$G$23))</f>
        <v/>
      </c>
      <c r="AA31" s="1129" t="str">
        <f>IF($W31="","",LOOKUP($W31,'Quadro 3'!$F$9:$F$23,'Quadro 3'!$D$9:$D$23))</f>
        <v/>
      </c>
      <c r="AB31" s="939" t="str">
        <f>IF($W31="","",LOOKUP($W31,'Quadro 3'!$F$9:$F$23,'Quadro 3'!$E$9:$E$23))</f>
        <v/>
      </c>
      <c r="AC31" s="929" t="str">
        <f t="shared" si="7"/>
        <v/>
      </c>
      <c r="AD31" s="1151" t="str">
        <f t="shared" ref="AD31:AD49" si="134">IF(OR($F31="",$M31="",$W31="",AC31="",AC31=0),"",(SQRT(((AC31+$L$14)/$AW$12)^2-$AW$13*1000000*ABS($M31)*$AW$8*(($P31^1.82)/($W31^4.82)))-$L$14/$AW$12)*$AW$12)</f>
        <v/>
      </c>
      <c r="AE31" s="1152"/>
      <c r="AF31" s="1121" t="str">
        <f t="shared" si="8"/>
        <v/>
      </c>
      <c r="AG31" s="1123" t="str">
        <f t="shared" ref="AG31:AG49" si="135">IF(AF31="","",((2/3)*(((AC31+$L$14)^3-(AF31+$L$14)^3)/((AC31+$L$14)^2-(AF31+$L$14)^2)))-$L$14)</f>
        <v/>
      </c>
      <c r="AH31" s="931" t="str">
        <f t="shared" si="9"/>
        <v/>
      </c>
      <c r="AI31" s="932" t="str">
        <f t="shared" si="10"/>
        <v/>
      </c>
      <c r="AJ31" s="1153" t="str">
        <f t="shared" si="11"/>
        <v/>
      </c>
      <c r="AK31" s="1154"/>
      <c r="AL31" s="933" t="str">
        <f t="shared" ref="AL31:AL49" si="136">IF(AG31="","",(354*P31*$L$14)/(W31^2*(AG31+$L$14)))</f>
        <v/>
      </c>
      <c r="AM31" s="1138" t="str">
        <f t="shared" si="12"/>
        <v/>
      </c>
      <c r="AN31" s="1139"/>
      <c r="AO31" s="1140"/>
      <c r="AQ31" s="1126"/>
      <c r="AU31" s="1116">
        <f>IF(OR(AND(F31="",OR($G31&lt;&gt;"",$H31&lt;&gt;"",$I31&lt;&gt;"",$J31&lt;&gt;"")),AND($G31="",$F31&lt;&gt;"",$H31&lt;&gt;""),AND($H31="",$I31="",$J31&lt;&gt;""),AND(J31&lt;&gt;"",OR($F31="",$G31=""))),100,IF(AND(OR(AJ31="",AJ31="Não aplicável",AJ31="Conforme"),OR(AM31="",AM31="Conforme")),0,1))</f>
        <v>0</v>
      </c>
      <c r="AV31" s="350" t="str">
        <f t="shared" ref="AV31:AV49" si="137">IF(F31="","",IF(F31=$BW$20,1,0))</f>
        <v/>
      </c>
      <c r="AW31" s="241">
        <f t="shared" si="13"/>
        <v>0</v>
      </c>
      <c r="AX31" s="241" t="str">
        <f t="shared" si="14"/>
        <v/>
      </c>
      <c r="AY31" s="241" t="str">
        <f t="shared" si="15"/>
        <v/>
      </c>
      <c r="AZ31" s="241" t="str">
        <f t="shared" si="16"/>
        <v/>
      </c>
      <c r="BA31" s="2"/>
      <c r="BB31" s="2"/>
      <c r="BC31" s="2"/>
      <c r="BD31" s="2"/>
      <c r="BE31" s="2"/>
      <c r="BF31" s="2"/>
      <c r="BG31" s="2"/>
      <c r="BH31" s="2"/>
      <c r="BI31" s="350" t="str">
        <f t="shared" ref="BI31:BI49" si="138">IF(OR(W31="",BM31="",BJ31=0),"0",IF(W31&lt;BJ31,1,"0"))</f>
        <v>0</v>
      </c>
      <c r="BJ31" s="350">
        <f t="shared" ref="BJ31:BJ49" si="139">IF(BM31="",0,IF(LOOKUP(BM31,$CQ$30:$CQ$49,$W$30:$W$49)="",0,LOOKUP(BM31,$CQ$30:$CQ$49,$W$30:$W$49)))</f>
        <v>0</v>
      </c>
      <c r="BK31" s="911" t="str">
        <f t="shared" ref="BK31:BK49" si="140">IF(OR(H31="",BM31=""),"NA",IF(H31&lt;BL31,E31,"NA"))</f>
        <v>NA</v>
      </c>
      <c r="BL31" s="911" t="str">
        <f t="shared" ref="BL31:BL49" si="141">IF(BM31="","",LOOKUP(BM31,$CQ$30:$CQ$49,$H$30:$H$49))</f>
        <v/>
      </c>
      <c r="BM31" s="911" t="str">
        <f t="shared" ref="BM31:BM49" si="142">IF(OR(BW31="",BV31=1),"",MATCH(BW31,$CZ$30:$CZ$49,0))</f>
        <v/>
      </c>
      <c r="BN31" s="2"/>
      <c r="BO31" s="2"/>
      <c r="BP31" s="2"/>
      <c r="BQ31" s="2"/>
      <c r="BR31" s="2"/>
      <c r="BS31" s="2"/>
      <c r="BT31" s="2"/>
      <c r="BU31" s="2"/>
      <c r="BV31" s="350" t="str">
        <f t="shared" ref="BV31:BV49" si="143">IF(OR(BW31="",BW31=0),"",COUNTIF($BW$30:$CP$49,BW31))</f>
        <v/>
      </c>
      <c r="BW31" s="235" t="str">
        <f t="shared" ref="BW31:BW49" si="144">IF(DA31=0,"",DA31)</f>
        <v/>
      </c>
      <c r="BX31" s="235" t="str">
        <f t="shared" ref="BX31:BX49" si="145">IF(DC31=0,"",DC31)</f>
        <v/>
      </c>
      <c r="BY31" s="235" t="str">
        <f t="shared" ref="BY31:BY49" si="146">IF(DK31=0,"",DK31)</f>
        <v/>
      </c>
      <c r="BZ31" s="235" t="str">
        <f t="shared" ref="BZ31:BZ49" si="147">IF(DS31=0,"",DS31)</f>
        <v/>
      </c>
      <c r="CA31" s="235" t="str">
        <f t="shared" ref="CA31:CA49" si="148">IF(EA31=0,"",EA31)</f>
        <v/>
      </c>
      <c r="CB31" s="235" t="str">
        <f t="shared" ref="CB31:CB49" si="149">IF(EI31=0,"",EI31)</f>
        <v/>
      </c>
      <c r="CC31" s="235" t="str">
        <f t="shared" ref="CC31:CC49" si="150">IF(EQ31=0,"",EQ31)</f>
        <v/>
      </c>
      <c r="CD31" s="235" t="str">
        <f t="shared" ref="CD31:CD49" si="151">IF(EY31=0,"",EY31)</f>
        <v/>
      </c>
      <c r="CE31" s="235" t="str">
        <f t="shared" ref="CE31:CE49" si="152">IF(FG31=0,"",FG31)</f>
        <v/>
      </c>
      <c r="CF31" s="235" t="str">
        <f t="shared" ref="CF31:CF49" si="153">IF(FO31=0,"",FO31)</f>
        <v/>
      </c>
      <c r="CG31" s="235" t="str">
        <f t="shared" ref="CG31:CG49" si="154">IF(FW31=0,"",FW31)</f>
        <v/>
      </c>
      <c r="CH31" s="235" t="str">
        <f t="shared" ref="CH31:CH49" si="155">IF(GE31=0,"",GE31)</f>
        <v/>
      </c>
      <c r="CI31" s="235" t="str">
        <f t="shared" ref="CI31:CI49" si="156">IF(GM31=0,"",GM31)</f>
        <v/>
      </c>
      <c r="CJ31" s="235" t="str">
        <f t="shared" ref="CJ31:CJ49" si="157">IF(GU31=0,"",GU31)</f>
        <v/>
      </c>
      <c r="CK31" s="235" t="str">
        <f t="shared" ref="CK31:CK49" si="158">IF(HC31=0,"",HC31)</f>
        <v/>
      </c>
      <c r="CL31" s="235" t="str">
        <f t="shared" ref="CL31:CL49" si="159">IF(HK31=0,"",HK31)</f>
        <v/>
      </c>
      <c r="CM31" s="235" t="str">
        <f t="shared" ref="CM31:CM49" si="160">IF(HS31=0,"",HS31)</f>
        <v/>
      </c>
      <c r="CN31" s="235" t="str">
        <f t="shared" ref="CN31:CN49" si="161">IF(IA31=0,"",IA31)</f>
        <v/>
      </c>
      <c r="CO31" s="235" t="str">
        <f t="shared" ref="CO31:CO49" si="162">IF(II31=0,"",II31)</f>
        <v/>
      </c>
      <c r="CP31" s="235" t="str">
        <f t="shared" ref="CP31:CP49" si="163">IF(IQ31=0,"",IQ31)</f>
        <v/>
      </c>
      <c r="CQ31" s="2">
        <v>2</v>
      </c>
      <c r="CR31" s="207" t="str">
        <f t="shared" ref="CR31:CR49" si="164">IF($CU$50=1,CT31,IF(AND(CT31="Crítico",$CU$50&gt;1,CY55=$CY$53),"Crítico",CW31))</f>
        <v/>
      </c>
      <c r="CS31" s="227" t="str">
        <f t="shared" ref="CS31:CS49" si="165">IF(CR31="","",1)</f>
        <v/>
      </c>
      <c r="CT31" s="209" t="str">
        <f>IF(OR(CV31="",CV31=0),"",IF(CV31=$CV$29,"Crítico",""))</f>
        <v/>
      </c>
      <c r="CU31" s="227" t="str">
        <f t="shared" si="17"/>
        <v/>
      </c>
      <c r="CV31" s="43">
        <f>CY31+CY55</f>
        <v>0</v>
      </c>
      <c r="CW31" s="209" t="str">
        <f>IF(OR(CY31="",CY31=0),"",IF(CY31=$CY$29,"Crítico",""))</f>
        <v/>
      </c>
      <c r="CX31" s="204" t="str">
        <f>IF(CW31="","",1)</f>
        <v/>
      </c>
      <c r="CY31" s="43">
        <f t="shared" ref="CY31:CY49" si="166">DB31+DG31+DO31+DW31+EE31+EM31+EU31+FC31+FK31+FS31+GA31+GI31+GQ31+GY31+HG31+HO31+HW31+IE31+IM31+IU31</f>
        <v>0</v>
      </c>
      <c r="CZ31" s="44">
        <f>F31</f>
        <v>0</v>
      </c>
      <c r="DA31" s="45">
        <f t="shared" ref="DA31:DA49" si="167">G31</f>
        <v>0</v>
      </c>
      <c r="DB31" s="46">
        <f t="shared" si="18"/>
        <v>0</v>
      </c>
      <c r="DC31" s="47" t="str">
        <f t="shared" ref="DC31:DC48" si="168">IF(G31="","",F31)</f>
        <v/>
      </c>
      <c r="DD31" s="52">
        <f t="shared" si="19"/>
        <v>0</v>
      </c>
      <c r="DE31" s="52">
        <f t="shared" si="20"/>
        <v>0</v>
      </c>
      <c r="DF31" s="52">
        <f t="shared" si="21"/>
        <v>0</v>
      </c>
      <c r="DG31" s="215">
        <f>IF(DC31="",0,MAX(DD31:DE31:DF31))</f>
        <v>0</v>
      </c>
      <c r="DH31" s="115" t="str">
        <f t="shared" si="22"/>
        <v/>
      </c>
      <c r="DI31" s="51" t="str">
        <f t="shared" si="23"/>
        <v/>
      </c>
      <c r="DJ31" s="51" t="str">
        <f t="shared" si="24"/>
        <v/>
      </c>
      <c r="DK31" s="49" t="str">
        <f t="shared" ref="DK31:DK49" si="169">IF(DH31&lt;&gt;"",DH31,IF(DI31&lt;&gt;"",DI31,IF(DJ31&lt;&gt;"",DJ31,"")))</f>
        <v/>
      </c>
      <c r="DL31" s="52">
        <f t="shared" si="25"/>
        <v>0</v>
      </c>
      <c r="DM31" s="52">
        <f t="shared" si="26"/>
        <v>0</v>
      </c>
      <c r="DN31" s="52">
        <f t="shared" si="27"/>
        <v>0</v>
      </c>
      <c r="DO31" s="215">
        <f>IF(DK31="",0,MAX(DL31:DM31:DN31))</f>
        <v>0</v>
      </c>
      <c r="DP31" s="115" t="str">
        <f t="shared" si="28"/>
        <v/>
      </c>
      <c r="DQ31" s="51" t="str">
        <f t="shared" si="29"/>
        <v/>
      </c>
      <c r="DR31" s="51" t="str">
        <f t="shared" si="30"/>
        <v/>
      </c>
      <c r="DS31" s="49" t="str">
        <f t="shared" ref="DS31:DS49" si="170">IF(DP31&lt;&gt;"",DP31,IF(DQ31&lt;&gt;"",DQ31,IF(DR31&lt;&gt;"",DR31,"")))</f>
        <v/>
      </c>
      <c r="DT31" s="52">
        <f t="shared" si="31"/>
        <v>0</v>
      </c>
      <c r="DU31" s="52">
        <f t="shared" si="32"/>
        <v>0</v>
      </c>
      <c r="DV31" s="52">
        <f t="shared" si="33"/>
        <v>0</v>
      </c>
      <c r="DW31" s="215">
        <f>IF(DS31="",0,MAX(DT31:DU31:DV31))</f>
        <v>0</v>
      </c>
      <c r="DX31" s="115" t="str">
        <f t="shared" si="34"/>
        <v/>
      </c>
      <c r="DY31" s="51" t="str">
        <f t="shared" si="35"/>
        <v/>
      </c>
      <c r="DZ31" s="51" t="str">
        <f t="shared" si="36"/>
        <v/>
      </c>
      <c r="EA31" s="49" t="str">
        <f t="shared" ref="EA31:EA49" si="171">IF(DX31&lt;&gt;"",DX31,IF(DY31&lt;&gt;"",DY31,IF(DZ31&lt;&gt;"",DZ31,"")))</f>
        <v/>
      </c>
      <c r="EB31" s="52">
        <f t="shared" si="37"/>
        <v>0</v>
      </c>
      <c r="EC31" s="52">
        <f t="shared" si="38"/>
        <v>0</v>
      </c>
      <c r="ED31" s="52">
        <f t="shared" si="39"/>
        <v>0</v>
      </c>
      <c r="EE31" s="215">
        <f>IF(EA31="",0,MAX(EB31:EC31:ED31))</f>
        <v>0</v>
      </c>
      <c r="EF31" s="115" t="str">
        <f t="shared" si="40"/>
        <v/>
      </c>
      <c r="EG31" s="51" t="str">
        <f t="shared" si="41"/>
        <v/>
      </c>
      <c r="EH31" s="51" t="str">
        <f t="shared" si="42"/>
        <v/>
      </c>
      <c r="EI31" s="49" t="str">
        <f t="shared" ref="EI31:EI49" si="172">IF(EF31&lt;&gt;"",EF31,IF(EG31&lt;&gt;"",EG31,IF(EH31&lt;&gt;"",EH31,"")))</f>
        <v/>
      </c>
      <c r="EJ31" s="52">
        <f t="shared" si="43"/>
        <v>0</v>
      </c>
      <c r="EK31" s="52">
        <f t="shared" si="44"/>
        <v>0</v>
      </c>
      <c r="EL31" s="52">
        <f t="shared" si="45"/>
        <v>0</v>
      </c>
      <c r="EM31" s="215">
        <f>IF(EI31="",0,MAX(EJ31:EK31:EL31))</f>
        <v>0</v>
      </c>
      <c r="EN31" s="115" t="str">
        <f t="shared" si="46"/>
        <v/>
      </c>
      <c r="EO31" s="51" t="str">
        <f t="shared" si="47"/>
        <v/>
      </c>
      <c r="EP31" s="51" t="str">
        <f t="shared" si="48"/>
        <v/>
      </c>
      <c r="EQ31" s="49" t="str">
        <f t="shared" ref="EQ31:EQ49" si="173">IF(EN31&lt;&gt;"",EN31,IF(EO31&lt;&gt;"",EO31,IF(EP31&lt;&gt;"",EP31,"")))</f>
        <v/>
      </c>
      <c r="ER31" s="52">
        <f t="shared" si="49"/>
        <v>0</v>
      </c>
      <c r="ES31" s="52">
        <f t="shared" si="50"/>
        <v>0</v>
      </c>
      <c r="ET31" s="52">
        <f t="shared" si="51"/>
        <v>0</v>
      </c>
      <c r="EU31" s="215">
        <f>IF(EQ31="",0,MAX(ER31:ES31:ET31))</f>
        <v>0</v>
      </c>
      <c r="EV31" s="115" t="str">
        <f t="shared" si="52"/>
        <v/>
      </c>
      <c r="EW31" s="51" t="str">
        <f t="shared" si="53"/>
        <v/>
      </c>
      <c r="EX31" s="51" t="str">
        <f t="shared" si="54"/>
        <v/>
      </c>
      <c r="EY31" s="49" t="str">
        <f t="shared" ref="EY31:EY49" si="174">IF(EV31&lt;&gt;"",EV31,IF(EW31&lt;&gt;"",EW31,IF(EX31&lt;&gt;"",EX31,"")))</f>
        <v/>
      </c>
      <c r="EZ31" s="52">
        <f t="shared" si="55"/>
        <v>0</v>
      </c>
      <c r="FA31" s="52">
        <f t="shared" si="56"/>
        <v>0</v>
      </c>
      <c r="FB31" s="52">
        <f t="shared" si="57"/>
        <v>0</v>
      </c>
      <c r="FC31" s="215">
        <f>IF(EY31="",0,MAX(EZ31:FA31:FB31))</f>
        <v>0</v>
      </c>
      <c r="FD31" s="115" t="str">
        <f t="shared" si="58"/>
        <v/>
      </c>
      <c r="FE31" s="51" t="str">
        <f t="shared" si="59"/>
        <v/>
      </c>
      <c r="FF31" s="51" t="str">
        <f t="shared" si="60"/>
        <v/>
      </c>
      <c r="FG31" s="49" t="str">
        <f t="shared" ref="FG31:FG49" si="175">IF(FD31&lt;&gt;"",FD31,IF(FE31&lt;&gt;"",FE31,IF(FF31&lt;&gt;"",FF31,"")))</f>
        <v/>
      </c>
      <c r="FH31" s="52">
        <f t="shared" si="61"/>
        <v>0</v>
      </c>
      <c r="FI31" s="52">
        <f t="shared" si="62"/>
        <v>0</v>
      </c>
      <c r="FJ31" s="52">
        <f t="shared" si="63"/>
        <v>0</v>
      </c>
      <c r="FK31" s="215">
        <f>IF(FG31="",0,MAX(FH31:FI31:FJ31))</f>
        <v>0</v>
      </c>
      <c r="FL31" s="115" t="str">
        <f t="shared" si="64"/>
        <v/>
      </c>
      <c r="FM31" s="51" t="str">
        <f t="shared" si="65"/>
        <v/>
      </c>
      <c r="FN31" s="51" t="str">
        <f t="shared" si="66"/>
        <v/>
      </c>
      <c r="FO31" s="49" t="str">
        <f t="shared" ref="FO31:FO49" si="176">IF(FL31&lt;&gt;"",FL31,IF(FM31&lt;&gt;"",FM31,IF(FN31&lt;&gt;"",FN31,"")))</f>
        <v/>
      </c>
      <c r="FP31" s="52">
        <f t="shared" si="67"/>
        <v>0</v>
      </c>
      <c r="FQ31" s="52">
        <f t="shared" si="68"/>
        <v>0</v>
      </c>
      <c r="FR31" s="52">
        <f t="shared" si="69"/>
        <v>0</v>
      </c>
      <c r="FS31" s="215">
        <f>IF(FO31="",0,MAX(FP31:FQ31:FR31))</f>
        <v>0</v>
      </c>
      <c r="FT31" s="115" t="str">
        <f t="shared" si="70"/>
        <v/>
      </c>
      <c r="FU31" s="51" t="str">
        <f t="shared" si="71"/>
        <v/>
      </c>
      <c r="FV31" s="51" t="str">
        <f t="shared" si="72"/>
        <v/>
      </c>
      <c r="FW31" s="49" t="str">
        <f t="shared" ref="FW31:FW49" si="177">IF(FT31&lt;&gt;"",FT31,IF(FU31&lt;&gt;"",FU31,IF(FV31&lt;&gt;"",FV31,"")))</f>
        <v/>
      </c>
      <c r="FX31" s="52">
        <f t="shared" si="73"/>
        <v>0</v>
      </c>
      <c r="FY31" s="52">
        <f t="shared" si="74"/>
        <v>0</v>
      </c>
      <c r="FZ31" s="52">
        <f t="shared" si="75"/>
        <v>0</v>
      </c>
      <c r="GA31" s="215">
        <f>IF(FW31="",0,MAX(FX31:FY31:FZ31))</f>
        <v>0</v>
      </c>
      <c r="GB31" s="115" t="str">
        <f t="shared" si="76"/>
        <v/>
      </c>
      <c r="GC31" s="51" t="str">
        <f t="shared" si="77"/>
        <v/>
      </c>
      <c r="GD31" s="51" t="str">
        <f t="shared" si="78"/>
        <v/>
      </c>
      <c r="GE31" s="49" t="str">
        <f t="shared" ref="GE31:GE49" si="178">IF(GB31&lt;&gt;"",GB31,IF(GC31&lt;&gt;"",GC31,IF(GD31&lt;&gt;"",GD31,"")))</f>
        <v/>
      </c>
      <c r="GF31" s="52">
        <f t="shared" si="79"/>
        <v>0</v>
      </c>
      <c r="GG31" s="52">
        <f t="shared" si="80"/>
        <v>0</v>
      </c>
      <c r="GH31" s="52">
        <f t="shared" si="81"/>
        <v>0</v>
      </c>
      <c r="GI31" s="215">
        <f>IF(GE31="",0,MAX(GF31:GG31:GH31))</f>
        <v>0</v>
      </c>
      <c r="GJ31" s="115" t="str">
        <f t="shared" si="82"/>
        <v/>
      </c>
      <c r="GK31" s="51" t="str">
        <f t="shared" si="83"/>
        <v/>
      </c>
      <c r="GL31" s="51" t="str">
        <f t="shared" si="84"/>
        <v/>
      </c>
      <c r="GM31" s="49" t="str">
        <f t="shared" ref="GM31:GM49" si="179">IF(GJ31&lt;&gt;"",GJ31,IF(GK31&lt;&gt;"",GK31,IF(GL31&lt;&gt;"",GL31,"")))</f>
        <v/>
      </c>
      <c r="GN31" s="52">
        <f t="shared" si="85"/>
        <v>0</v>
      </c>
      <c r="GO31" s="52">
        <f t="shared" si="86"/>
        <v>0</v>
      </c>
      <c r="GP31" s="52">
        <f t="shared" si="87"/>
        <v>0</v>
      </c>
      <c r="GQ31" s="215">
        <f>IF(GM31="",0,MAX(GN31:GO31:GP31))</f>
        <v>0</v>
      </c>
      <c r="GR31" s="115" t="str">
        <f t="shared" si="88"/>
        <v/>
      </c>
      <c r="GS31" s="51" t="str">
        <f t="shared" si="89"/>
        <v/>
      </c>
      <c r="GT31" s="51" t="str">
        <f t="shared" si="90"/>
        <v/>
      </c>
      <c r="GU31" s="49" t="str">
        <f t="shared" ref="GU31:GU49" si="180">IF(GR31&lt;&gt;"",GR31,IF(GS31&lt;&gt;"",GS31,IF(GT31&lt;&gt;"",GT31,"")))</f>
        <v/>
      </c>
      <c r="GV31" s="52">
        <f t="shared" si="91"/>
        <v>0</v>
      </c>
      <c r="GW31" s="52">
        <f t="shared" si="92"/>
        <v>0</v>
      </c>
      <c r="GX31" s="52">
        <f t="shared" si="93"/>
        <v>0</v>
      </c>
      <c r="GY31" s="215">
        <f>IF(GU31="",0,MAX(GV31:GW31:GX31))</f>
        <v>0</v>
      </c>
      <c r="GZ31" s="115" t="str">
        <f t="shared" si="94"/>
        <v/>
      </c>
      <c r="HA31" s="51" t="str">
        <f t="shared" si="95"/>
        <v/>
      </c>
      <c r="HB31" s="51" t="str">
        <f t="shared" si="96"/>
        <v/>
      </c>
      <c r="HC31" s="49" t="str">
        <f t="shared" ref="HC31:HC49" si="181">IF(GZ31&lt;&gt;"",GZ31,IF(HA31&lt;&gt;"",HA31,IF(HB31&lt;&gt;"",HB31,"")))</f>
        <v/>
      </c>
      <c r="HD31" s="52">
        <f t="shared" si="97"/>
        <v>0</v>
      </c>
      <c r="HE31" s="52">
        <f t="shared" si="98"/>
        <v>0</v>
      </c>
      <c r="HF31" s="52">
        <f t="shared" si="99"/>
        <v>0</v>
      </c>
      <c r="HG31" s="215">
        <f>IF(HC31="",0,MAX(HD31:HE31:HF31))</f>
        <v>0</v>
      </c>
      <c r="HH31" s="115" t="str">
        <f t="shared" si="100"/>
        <v/>
      </c>
      <c r="HI31" s="51" t="str">
        <f t="shared" si="101"/>
        <v/>
      </c>
      <c r="HJ31" s="51" t="str">
        <f t="shared" si="102"/>
        <v/>
      </c>
      <c r="HK31" s="49" t="str">
        <f t="shared" ref="HK31:HK49" si="182">IF(HH31&lt;&gt;"",HH31,IF(HI31&lt;&gt;"",HI31,IF(HJ31&lt;&gt;"",HJ31,"")))</f>
        <v/>
      </c>
      <c r="HL31" s="52">
        <f t="shared" si="103"/>
        <v>0</v>
      </c>
      <c r="HM31" s="52">
        <f t="shared" si="104"/>
        <v>0</v>
      </c>
      <c r="HN31" s="52">
        <f t="shared" si="105"/>
        <v>0</v>
      </c>
      <c r="HO31" s="215">
        <f>IF(HK31="",0,MAX(HL31:HM31:HN31))</f>
        <v>0</v>
      </c>
      <c r="HP31" s="115" t="str">
        <f t="shared" si="106"/>
        <v/>
      </c>
      <c r="HQ31" s="51" t="str">
        <f t="shared" si="107"/>
        <v/>
      </c>
      <c r="HR31" s="51" t="str">
        <f t="shared" si="108"/>
        <v/>
      </c>
      <c r="HS31" s="49" t="str">
        <f t="shared" ref="HS31:HS49" si="183">IF(HP31&lt;&gt;"",HP31,IF(HQ31&lt;&gt;"",HQ31,IF(HR31&lt;&gt;"",HR31,"")))</f>
        <v/>
      </c>
      <c r="HT31" s="52">
        <f t="shared" si="109"/>
        <v>0</v>
      </c>
      <c r="HU31" s="52">
        <f t="shared" si="110"/>
        <v>0</v>
      </c>
      <c r="HV31" s="52">
        <f t="shared" si="111"/>
        <v>0</v>
      </c>
      <c r="HW31" s="215">
        <f>IF(HS31="",0,MAX(HT31:HU31:HV31))</f>
        <v>0</v>
      </c>
      <c r="HX31" s="115" t="str">
        <f t="shared" si="112"/>
        <v/>
      </c>
      <c r="HY31" s="51" t="str">
        <f t="shared" si="113"/>
        <v/>
      </c>
      <c r="HZ31" s="51" t="str">
        <f t="shared" si="114"/>
        <v/>
      </c>
      <c r="IA31" s="49" t="str">
        <f t="shared" ref="IA31:IA49" si="184">IF(HX31&lt;&gt;"",HX31,IF(HY31&lt;&gt;"",HY31,IF(HZ31&lt;&gt;"",HZ31,"")))</f>
        <v/>
      </c>
      <c r="IB31" s="52">
        <f t="shared" si="115"/>
        <v>0</v>
      </c>
      <c r="IC31" s="52">
        <f t="shared" si="116"/>
        <v>0</v>
      </c>
      <c r="ID31" s="52">
        <f t="shared" si="117"/>
        <v>0</v>
      </c>
      <c r="IE31" s="215">
        <f>IF(IA31="",0,MAX(IB31:IC31:ID31))</f>
        <v>0</v>
      </c>
      <c r="IF31" s="115" t="str">
        <f t="shared" si="118"/>
        <v/>
      </c>
      <c r="IG31" s="51" t="str">
        <f t="shared" si="119"/>
        <v/>
      </c>
      <c r="IH31" s="51" t="str">
        <f t="shared" si="120"/>
        <v/>
      </c>
      <c r="II31" s="49" t="str">
        <f t="shared" ref="II31:II49" si="185">IF(IF31&lt;&gt;"",IF31,IF(IG31&lt;&gt;"",IG31,IF(IH31&lt;&gt;"",IH31,"")))</f>
        <v/>
      </c>
      <c r="IJ31" s="52">
        <f t="shared" si="121"/>
        <v>0</v>
      </c>
      <c r="IK31" s="52">
        <f t="shared" si="122"/>
        <v>0</v>
      </c>
      <c r="IL31" s="52">
        <f t="shared" si="123"/>
        <v>0</v>
      </c>
      <c r="IM31" s="215">
        <f>IF(II31="",0,MAX(IJ31:IK31:IL31))</f>
        <v>0</v>
      </c>
      <c r="IN31" s="115" t="str">
        <f t="shared" si="124"/>
        <v/>
      </c>
      <c r="IO31" s="51" t="str">
        <f t="shared" si="125"/>
        <v/>
      </c>
      <c r="IP31" s="51" t="str">
        <f t="shared" si="126"/>
        <v/>
      </c>
      <c r="IQ31" s="49" t="str">
        <f t="shared" ref="IQ31:IQ49" si="186">IF(IN31&lt;&gt;"",IN31,IF(IO31&lt;&gt;"",IO31,IF(IP31&lt;&gt;"",IP31,"")))</f>
        <v/>
      </c>
      <c r="IR31" s="52">
        <f t="shared" si="127"/>
        <v>0</v>
      </c>
      <c r="IS31" s="52">
        <f t="shared" si="128"/>
        <v>0</v>
      </c>
      <c r="IT31" s="52">
        <f t="shared" si="129"/>
        <v>0</v>
      </c>
      <c r="IU31" s="215">
        <f>IF(IQ31="",0,MAX(IR31:IS31:IT31))</f>
        <v>0</v>
      </c>
    </row>
    <row r="32" spans="1:255" s="16" customFormat="1" ht="18" customHeight="1" thickTop="1" thickBot="1" x14ac:dyDescent="0.35">
      <c r="A32" s="902" t="str">
        <f t="shared" si="130"/>
        <v/>
      </c>
      <c r="B32" s="903"/>
      <c r="C32" s="708"/>
      <c r="D32" s="709" t="str">
        <f t="shared" si="131"/>
        <v/>
      </c>
      <c r="E32" s="843" t="str">
        <f>IF(D32="","",SUM(D$30:D32))</f>
        <v/>
      </c>
      <c r="F32" s="951"/>
      <c r="G32" s="952"/>
      <c r="H32" s="953"/>
      <c r="I32" s="954"/>
      <c r="J32" s="955"/>
      <c r="K32" s="956"/>
      <c r="L32" s="925"/>
      <c r="M32" s="927" t="str">
        <f t="shared" si="132"/>
        <v/>
      </c>
      <c r="N32" s="934" t="str">
        <f>IF(AND(H32="",I32=""),"",IF($D$19="x",1,IF($K$16="",LOOKUP((H32+I32),'Quadro 2 Ordenado'!$B$6:'Quadro 2 Ordenado'!$B$107,'Quadro 2 Ordenado'!$C$6:'Quadro 2 Ordenado'!$C$107),LOOKUP((H32+I32),'Quadro 2 Ordenado'!$B$6:'Quadro 2 Ordenado'!$B$107,'Quadro 2 Ordenado'!$D$6:'Quadro 2 Ordenado'!$D$107))))</f>
        <v/>
      </c>
      <c r="O32" s="50"/>
      <c r="P32" s="928" t="str">
        <f t="shared" si="133"/>
        <v/>
      </c>
      <c r="S32" s="935" t="str">
        <f t="shared" si="5"/>
        <v/>
      </c>
      <c r="T32" s="111" t="str">
        <f t="shared" si="6"/>
        <v/>
      </c>
      <c r="U32" s="926"/>
      <c r="V32" s="610" t="str">
        <f>IF(T32="","",IF(U32&lt;&gt;"",U32,T32))</f>
        <v/>
      </c>
      <c r="W32" s="936" t="str">
        <f>IF(OR(T32="",T32=0),"",IF($V32&gt;'Quadro 3'!$F$23,'Quadro 3'!$F$23,IF($V32&lt;'Quadro 3'!$F$10,'Quadro 3'!$F$10,MIN($X32,$Y32))))</f>
        <v/>
      </c>
      <c r="X32" s="937" t="str">
        <f>IF($V32&lt;='Quadro 3'!$F$10,'Quadro 3'!$F$10,IF($V32&lt;='Quadro 3'!$F$11,'Quadro 3'!$F$11,IF($V32&lt;='Quadro 3'!$F$12,'Quadro 3'!$F$12,IF($V32&lt;='Quadro 3'!$F$13,'Quadro 3'!$F$13,IF($V32&lt;='Quadro 3'!$F$14,'Quadro 3'!$F$14,IF($V32&lt;='Quadro 3'!$F$15,'Quadro 3'!$F$15,IF($V32&lt;='Quadro 3'!$F$16,'Quadro 3'!$F$16,"")))))))</f>
        <v/>
      </c>
      <c r="Y32" s="938" t="str">
        <f>IF(OR(T32="",T32=0),"",IF($V32&lt;='Quadro 3'!$F$17,'Quadro 3'!$F$17,IF($V32&lt;='Quadro 3'!$F$18,'Quadro 3'!$F$18,IF($V32&lt;='Quadro 3'!$F$19,'Quadro 3'!$F$19,IF($V32&lt;='Quadro 3'!$F$20,'Quadro 3'!$F$20,IF($V32&lt;='Quadro 3'!$F$21,'Quadro 3'!$F$21,IF($V32&lt;='Quadro 3'!$F$22,'Quadro 3'!$F$22,IF($V32&lt;='Quadro 3'!$F$23,'Quadro 3'!$F$23,'Quadro 3'!$F$23))))))))</f>
        <v/>
      </c>
      <c r="Z32" s="936" t="str">
        <f>IF($W32="","",LOOKUP($W32,'Quadro 3'!$F$9:$F$23,'Quadro 3'!$G$9:$G$23))</f>
        <v/>
      </c>
      <c r="AA32" s="1129" t="str">
        <f>IF($W32="","",LOOKUP($W32,'Quadro 3'!$F$9:$F$23,'Quadro 3'!$D$9:$D$23))</f>
        <v/>
      </c>
      <c r="AB32" s="939" t="str">
        <f>IF($W32="","",LOOKUP($W32,'Quadro 3'!$F$9:$F$23,'Quadro 3'!$E$9:$E$23))</f>
        <v/>
      </c>
      <c r="AC32" s="929" t="str">
        <f t="shared" si="7"/>
        <v/>
      </c>
      <c r="AD32" s="1151" t="str">
        <f t="shared" si="134"/>
        <v/>
      </c>
      <c r="AE32" s="1152"/>
      <c r="AF32" s="1121" t="str">
        <f t="shared" si="8"/>
        <v/>
      </c>
      <c r="AG32" s="1123" t="str">
        <f t="shared" si="135"/>
        <v/>
      </c>
      <c r="AH32" s="931" t="str">
        <f t="shared" si="9"/>
        <v/>
      </c>
      <c r="AI32" s="932" t="str">
        <f t="shared" si="10"/>
        <v/>
      </c>
      <c r="AJ32" s="1153" t="str">
        <f t="shared" si="11"/>
        <v/>
      </c>
      <c r="AK32" s="1154"/>
      <c r="AL32" s="933" t="str">
        <f t="shared" si="136"/>
        <v/>
      </c>
      <c r="AM32" s="1138" t="str">
        <f t="shared" si="12"/>
        <v/>
      </c>
      <c r="AN32" s="1139"/>
      <c r="AO32" s="1140"/>
      <c r="AQ32" s="1126"/>
      <c r="AU32" s="1116">
        <f t="shared" ref="AU32:AU49" si="187">IF(OR(AND(F32="",OR($G32&lt;&gt;"",$H32&lt;&gt;"",$I32&lt;&gt;"",$J32&lt;&gt;"")),AND($G32="",$F32&lt;&gt;"",$H32&lt;&gt;""),AND($H32="",$I32="",$J32&lt;&gt;""),AND(J32&lt;&gt;"",OR($F32="",$G32=""))),100,IF(AND(OR(AJ32="",AJ32="Não aplicável",AJ32="Conforme"),OR(AM32="",AM32="Conforme")),0,1))</f>
        <v>0</v>
      </c>
      <c r="AV32" s="350" t="str">
        <f t="shared" si="137"/>
        <v/>
      </c>
      <c r="AW32" s="241">
        <f t="shared" si="13"/>
        <v>0</v>
      </c>
      <c r="AX32" s="241" t="str">
        <f t="shared" si="14"/>
        <v/>
      </c>
      <c r="AY32" s="241" t="str">
        <f t="shared" si="15"/>
        <v/>
      </c>
      <c r="AZ32" s="241" t="str">
        <f t="shared" si="16"/>
        <v/>
      </c>
      <c r="BA32" s="2"/>
      <c r="BB32" s="2"/>
      <c r="BC32" s="2"/>
      <c r="BD32" s="2"/>
      <c r="BE32" s="2"/>
      <c r="BF32" s="2"/>
      <c r="BG32" s="2"/>
      <c r="BH32" s="2"/>
      <c r="BI32" s="350" t="str">
        <f t="shared" si="138"/>
        <v>0</v>
      </c>
      <c r="BJ32" s="350">
        <f t="shared" si="139"/>
        <v>0</v>
      </c>
      <c r="BK32" s="911" t="str">
        <f t="shared" si="140"/>
        <v>NA</v>
      </c>
      <c r="BL32" s="911" t="str">
        <f t="shared" si="141"/>
        <v/>
      </c>
      <c r="BM32" s="911" t="str">
        <f t="shared" si="142"/>
        <v/>
      </c>
      <c r="BN32" s="2"/>
      <c r="BO32" s="2"/>
      <c r="BP32" s="2"/>
      <c r="BQ32" s="2"/>
      <c r="BR32" s="2"/>
      <c r="BS32" s="2"/>
      <c r="BT32" s="2"/>
      <c r="BU32" s="2"/>
      <c r="BV32" s="350" t="str">
        <f t="shared" si="143"/>
        <v/>
      </c>
      <c r="BW32" s="235" t="str">
        <f t="shared" si="144"/>
        <v/>
      </c>
      <c r="BX32" s="235" t="str">
        <f t="shared" si="145"/>
        <v/>
      </c>
      <c r="BY32" s="235" t="str">
        <f t="shared" si="146"/>
        <v/>
      </c>
      <c r="BZ32" s="235" t="str">
        <f t="shared" si="147"/>
        <v/>
      </c>
      <c r="CA32" s="235" t="str">
        <f t="shared" si="148"/>
        <v/>
      </c>
      <c r="CB32" s="235" t="str">
        <f t="shared" si="149"/>
        <v/>
      </c>
      <c r="CC32" s="235" t="str">
        <f t="shared" si="150"/>
        <v/>
      </c>
      <c r="CD32" s="235" t="str">
        <f t="shared" si="151"/>
        <v/>
      </c>
      <c r="CE32" s="235" t="str">
        <f t="shared" si="152"/>
        <v/>
      </c>
      <c r="CF32" s="235" t="str">
        <f t="shared" si="153"/>
        <v/>
      </c>
      <c r="CG32" s="235" t="str">
        <f t="shared" si="154"/>
        <v/>
      </c>
      <c r="CH32" s="235" t="str">
        <f t="shared" si="155"/>
        <v/>
      </c>
      <c r="CI32" s="235" t="str">
        <f t="shared" si="156"/>
        <v/>
      </c>
      <c r="CJ32" s="235" t="str">
        <f t="shared" si="157"/>
        <v/>
      </c>
      <c r="CK32" s="235" t="str">
        <f t="shared" si="158"/>
        <v/>
      </c>
      <c r="CL32" s="235" t="str">
        <f t="shared" si="159"/>
        <v/>
      </c>
      <c r="CM32" s="235" t="str">
        <f t="shared" si="160"/>
        <v/>
      </c>
      <c r="CN32" s="235" t="str">
        <f t="shared" si="161"/>
        <v/>
      </c>
      <c r="CO32" s="235" t="str">
        <f t="shared" si="162"/>
        <v/>
      </c>
      <c r="CP32" s="235" t="str">
        <f t="shared" si="163"/>
        <v/>
      </c>
      <c r="CQ32" s="2">
        <v>3</v>
      </c>
      <c r="CR32" s="207" t="str">
        <f t="shared" si="164"/>
        <v/>
      </c>
      <c r="CS32" s="227" t="str">
        <f t="shared" si="165"/>
        <v/>
      </c>
      <c r="CT32" s="209" t="str">
        <f t="shared" ref="CT32:CT49" si="188">IF(OR(CV32="",CV32=0),"",IF(CV32=$CV$29,"Crítico",""))</f>
        <v/>
      </c>
      <c r="CU32" s="227" t="str">
        <f t="shared" si="17"/>
        <v/>
      </c>
      <c r="CV32" s="43">
        <f t="shared" ref="CV32:CV49" si="189">CY32+CY56</f>
        <v>0</v>
      </c>
      <c r="CW32" s="209" t="str">
        <f t="shared" ref="CW32:CW49" si="190">IF(OR(CY32="",CY32=0),"",IF(CY32=$CY$29,"Crítico",""))</f>
        <v/>
      </c>
      <c r="CX32" s="204" t="str">
        <f t="shared" ref="CX32:CX49" si="191">IF(CW32="","",1)</f>
        <v/>
      </c>
      <c r="CY32" s="43">
        <f t="shared" si="166"/>
        <v>0</v>
      </c>
      <c r="CZ32" s="44">
        <f>F32</f>
        <v>0</v>
      </c>
      <c r="DA32" s="45">
        <f t="shared" si="167"/>
        <v>0</v>
      </c>
      <c r="DB32" s="46">
        <f t="shared" si="18"/>
        <v>0</v>
      </c>
      <c r="DC32" s="47" t="str">
        <f t="shared" si="168"/>
        <v/>
      </c>
      <c r="DD32" s="52">
        <f t="shared" si="19"/>
        <v>0</v>
      </c>
      <c r="DE32" s="52">
        <f t="shared" si="20"/>
        <v>0</v>
      </c>
      <c r="DF32" s="52">
        <f t="shared" si="21"/>
        <v>0</v>
      </c>
      <c r="DG32" s="215">
        <f>IF(DC32="",0,MAX(DD32:DE32:DF32))</f>
        <v>0</v>
      </c>
      <c r="DH32" s="115" t="str">
        <f t="shared" si="22"/>
        <v/>
      </c>
      <c r="DI32" s="51" t="str">
        <f t="shared" si="23"/>
        <v/>
      </c>
      <c r="DJ32" s="51" t="str">
        <f t="shared" si="24"/>
        <v/>
      </c>
      <c r="DK32" s="49" t="str">
        <f t="shared" si="169"/>
        <v/>
      </c>
      <c r="DL32" s="52">
        <f t="shared" si="25"/>
        <v>0</v>
      </c>
      <c r="DM32" s="52">
        <f t="shared" si="26"/>
        <v>0</v>
      </c>
      <c r="DN32" s="52">
        <f t="shared" si="27"/>
        <v>0</v>
      </c>
      <c r="DO32" s="215">
        <f>IF(DK32="",0,MAX(DL32:DM32:DN32))</f>
        <v>0</v>
      </c>
      <c r="DP32" s="115" t="str">
        <f t="shared" si="28"/>
        <v/>
      </c>
      <c r="DQ32" s="51" t="str">
        <f t="shared" si="29"/>
        <v/>
      </c>
      <c r="DR32" s="51" t="str">
        <f t="shared" si="30"/>
        <v/>
      </c>
      <c r="DS32" s="49" t="str">
        <f t="shared" si="170"/>
        <v/>
      </c>
      <c r="DT32" s="52">
        <f t="shared" si="31"/>
        <v>0</v>
      </c>
      <c r="DU32" s="52">
        <f t="shared" si="32"/>
        <v>0</v>
      </c>
      <c r="DV32" s="52">
        <f t="shared" si="33"/>
        <v>0</v>
      </c>
      <c r="DW32" s="215">
        <f>IF(DS32="",0,MAX(DT32:DU32:DV32))</f>
        <v>0</v>
      </c>
      <c r="DX32" s="115" t="str">
        <f t="shared" si="34"/>
        <v/>
      </c>
      <c r="DY32" s="51" t="str">
        <f t="shared" si="35"/>
        <v/>
      </c>
      <c r="DZ32" s="51" t="str">
        <f t="shared" si="36"/>
        <v/>
      </c>
      <c r="EA32" s="49" t="str">
        <f t="shared" si="171"/>
        <v/>
      </c>
      <c r="EB32" s="52">
        <f t="shared" si="37"/>
        <v>0</v>
      </c>
      <c r="EC32" s="52">
        <f t="shared" si="38"/>
        <v>0</v>
      </c>
      <c r="ED32" s="52">
        <f t="shared" si="39"/>
        <v>0</v>
      </c>
      <c r="EE32" s="215">
        <f>IF(EA32="",0,MAX(EB32:EC32:ED32))</f>
        <v>0</v>
      </c>
      <c r="EF32" s="115" t="str">
        <f t="shared" si="40"/>
        <v/>
      </c>
      <c r="EG32" s="51" t="str">
        <f t="shared" si="41"/>
        <v/>
      </c>
      <c r="EH32" s="51" t="str">
        <f t="shared" si="42"/>
        <v/>
      </c>
      <c r="EI32" s="49" t="str">
        <f t="shared" si="172"/>
        <v/>
      </c>
      <c r="EJ32" s="52">
        <f t="shared" si="43"/>
        <v>0</v>
      </c>
      <c r="EK32" s="52">
        <f t="shared" si="44"/>
        <v>0</v>
      </c>
      <c r="EL32" s="52">
        <f t="shared" si="45"/>
        <v>0</v>
      </c>
      <c r="EM32" s="215">
        <f>IF(EI32="",0,MAX(EJ32:EK32:EL32))</f>
        <v>0</v>
      </c>
      <c r="EN32" s="115" t="str">
        <f t="shared" si="46"/>
        <v/>
      </c>
      <c r="EO32" s="51" t="str">
        <f t="shared" si="47"/>
        <v/>
      </c>
      <c r="EP32" s="51" t="str">
        <f t="shared" si="48"/>
        <v/>
      </c>
      <c r="EQ32" s="49" t="str">
        <f t="shared" si="173"/>
        <v/>
      </c>
      <c r="ER32" s="52">
        <f t="shared" si="49"/>
        <v>0</v>
      </c>
      <c r="ES32" s="52">
        <f t="shared" si="50"/>
        <v>0</v>
      </c>
      <c r="ET32" s="52">
        <f t="shared" si="51"/>
        <v>0</v>
      </c>
      <c r="EU32" s="215">
        <f>IF(EQ32="",0,MAX(ER32:ES32:ET32))</f>
        <v>0</v>
      </c>
      <c r="EV32" s="115" t="str">
        <f t="shared" si="52"/>
        <v/>
      </c>
      <c r="EW32" s="51" t="str">
        <f t="shared" si="53"/>
        <v/>
      </c>
      <c r="EX32" s="51" t="str">
        <f t="shared" si="54"/>
        <v/>
      </c>
      <c r="EY32" s="49" t="str">
        <f t="shared" si="174"/>
        <v/>
      </c>
      <c r="EZ32" s="52">
        <f t="shared" si="55"/>
        <v>0</v>
      </c>
      <c r="FA32" s="52">
        <f t="shared" si="56"/>
        <v>0</v>
      </c>
      <c r="FB32" s="52">
        <f t="shared" si="57"/>
        <v>0</v>
      </c>
      <c r="FC32" s="215">
        <f>IF(EY32="",0,MAX(EZ32:FA32:FB32))</f>
        <v>0</v>
      </c>
      <c r="FD32" s="115" t="str">
        <f t="shared" si="58"/>
        <v/>
      </c>
      <c r="FE32" s="51" t="str">
        <f t="shared" si="59"/>
        <v/>
      </c>
      <c r="FF32" s="51" t="str">
        <f t="shared" si="60"/>
        <v/>
      </c>
      <c r="FG32" s="49" t="str">
        <f t="shared" si="175"/>
        <v/>
      </c>
      <c r="FH32" s="52">
        <f t="shared" si="61"/>
        <v>0</v>
      </c>
      <c r="FI32" s="52">
        <f t="shared" si="62"/>
        <v>0</v>
      </c>
      <c r="FJ32" s="52">
        <f t="shared" si="63"/>
        <v>0</v>
      </c>
      <c r="FK32" s="215">
        <f>IF(FG32="",0,MAX(FH32:FI32:FJ32))</f>
        <v>0</v>
      </c>
      <c r="FL32" s="115" t="str">
        <f t="shared" si="64"/>
        <v/>
      </c>
      <c r="FM32" s="51" t="str">
        <f t="shared" si="65"/>
        <v/>
      </c>
      <c r="FN32" s="51" t="str">
        <f t="shared" si="66"/>
        <v/>
      </c>
      <c r="FO32" s="49" t="str">
        <f t="shared" si="176"/>
        <v/>
      </c>
      <c r="FP32" s="52">
        <f t="shared" si="67"/>
        <v>0</v>
      </c>
      <c r="FQ32" s="52">
        <f t="shared" si="68"/>
        <v>0</v>
      </c>
      <c r="FR32" s="52">
        <f t="shared" si="69"/>
        <v>0</v>
      </c>
      <c r="FS32" s="215">
        <f>IF(FO32="",0,MAX(FP32:FQ32:FR32))</f>
        <v>0</v>
      </c>
      <c r="FT32" s="115" t="str">
        <f t="shared" si="70"/>
        <v/>
      </c>
      <c r="FU32" s="51" t="str">
        <f t="shared" si="71"/>
        <v/>
      </c>
      <c r="FV32" s="51" t="str">
        <f t="shared" si="72"/>
        <v/>
      </c>
      <c r="FW32" s="49" t="str">
        <f t="shared" si="177"/>
        <v/>
      </c>
      <c r="FX32" s="52">
        <f t="shared" si="73"/>
        <v>0</v>
      </c>
      <c r="FY32" s="52">
        <f t="shared" si="74"/>
        <v>0</v>
      </c>
      <c r="FZ32" s="52">
        <f t="shared" si="75"/>
        <v>0</v>
      </c>
      <c r="GA32" s="215">
        <f>IF(FW32="",0,MAX(FX32:FY32:FZ32))</f>
        <v>0</v>
      </c>
      <c r="GB32" s="115" t="str">
        <f t="shared" si="76"/>
        <v/>
      </c>
      <c r="GC32" s="51" t="str">
        <f t="shared" si="77"/>
        <v/>
      </c>
      <c r="GD32" s="51" t="str">
        <f t="shared" si="78"/>
        <v/>
      </c>
      <c r="GE32" s="49" t="str">
        <f t="shared" si="178"/>
        <v/>
      </c>
      <c r="GF32" s="52">
        <f t="shared" si="79"/>
        <v>0</v>
      </c>
      <c r="GG32" s="52">
        <f t="shared" si="80"/>
        <v>0</v>
      </c>
      <c r="GH32" s="52">
        <f t="shared" si="81"/>
        <v>0</v>
      </c>
      <c r="GI32" s="215">
        <f>IF(GE32="",0,MAX(GF32:GG32:GH32))</f>
        <v>0</v>
      </c>
      <c r="GJ32" s="115" t="str">
        <f t="shared" si="82"/>
        <v/>
      </c>
      <c r="GK32" s="51" t="str">
        <f t="shared" si="83"/>
        <v/>
      </c>
      <c r="GL32" s="51" t="str">
        <f t="shared" si="84"/>
        <v/>
      </c>
      <c r="GM32" s="49" t="str">
        <f t="shared" si="179"/>
        <v/>
      </c>
      <c r="GN32" s="52">
        <f t="shared" si="85"/>
        <v>0</v>
      </c>
      <c r="GO32" s="52">
        <f t="shared" si="86"/>
        <v>0</v>
      </c>
      <c r="GP32" s="52">
        <f t="shared" si="87"/>
        <v>0</v>
      </c>
      <c r="GQ32" s="215">
        <f>IF(GM32="",0,MAX(GN32:GO32:GP32))</f>
        <v>0</v>
      </c>
      <c r="GR32" s="115" t="str">
        <f t="shared" si="88"/>
        <v/>
      </c>
      <c r="GS32" s="51" t="str">
        <f t="shared" si="89"/>
        <v/>
      </c>
      <c r="GT32" s="51" t="str">
        <f t="shared" si="90"/>
        <v/>
      </c>
      <c r="GU32" s="49" t="str">
        <f t="shared" si="180"/>
        <v/>
      </c>
      <c r="GV32" s="52">
        <f t="shared" si="91"/>
        <v>0</v>
      </c>
      <c r="GW32" s="52">
        <f t="shared" si="92"/>
        <v>0</v>
      </c>
      <c r="GX32" s="52">
        <f t="shared" si="93"/>
        <v>0</v>
      </c>
      <c r="GY32" s="215">
        <f>IF(GU32="",0,MAX(GV32:GW32:GX32))</f>
        <v>0</v>
      </c>
      <c r="GZ32" s="115" t="str">
        <f t="shared" si="94"/>
        <v/>
      </c>
      <c r="HA32" s="51" t="str">
        <f t="shared" si="95"/>
        <v/>
      </c>
      <c r="HB32" s="51" t="str">
        <f t="shared" si="96"/>
        <v/>
      </c>
      <c r="HC32" s="49" t="str">
        <f t="shared" si="181"/>
        <v/>
      </c>
      <c r="HD32" s="52">
        <f t="shared" si="97"/>
        <v>0</v>
      </c>
      <c r="HE32" s="52">
        <f t="shared" si="98"/>
        <v>0</v>
      </c>
      <c r="HF32" s="52">
        <f t="shared" si="99"/>
        <v>0</v>
      </c>
      <c r="HG32" s="215">
        <f>IF(HC32="",0,MAX(HD32:HE32:HF32))</f>
        <v>0</v>
      </c>
      <c r="HH32" s="115" t="str">
        <f t="shared" si="100"/>
        <v/>
      </c>
      <c r="HI32" s="51" t="str">
        <f t="shared" si="101"/>
        <v/>
      </c>
      <c r="HJ32" s="51" t="str">
        <f t="shared" si="102"/>
        <v/>
      </c>
      <c r="HK32" s="49" t="str">
        <f t="shared" si="182"/>
        <v/>
      </c>
      <c r="HL32" s="52">
        <f t="shared" si="103"/>
        <v>0</v>
      </c>
      <c r="HM32" s="52">
        <f t="shared" si="104"/>
        <v>0</v>
      </c>
      <c r="HN32" s="52">
        <f t="shared" si="105"/>
        <v>0</v>
      </c>
      <c r="HO32" s="215">
        <f>IF(HK32="",0,MAX(HL32:HM32:HN32))</f>
        <v>0</v>
      </c>
      <c r="HP32" s="115" t="str">
        <f t="shared" si="106"/>
        <v/>
      </c>
      <c r="HQ32" s="51" t="str">
        <f t="shared" si="107"/>
        <v/>
      </c>
      <c r="HR32" s="51" t="str">
        <f t="shared" si="108"/>
        <v/>
      </c>
      <c r="HS32" s="49" t="str">
        <f t="shared" si="183"/>
        <v/>
      </c>
      <c r="HT32" s="52">
        <f t="shared" si="109"/>
        <v>0</v>
      </c>
      <c r="HU32" s="52">
        <f t="shared" si="110"/>
        <v>0</v>
      </c>
      <c r="HV32" s="52">
        <f t="shared" si="111"/>
        <v>0</v>
      </c>
      <c r="HW32" s="215">
        <f>IF(HS32="",0,MAX(HT32:HU32:HV32))</f>
        <v>0</v>
      </c>
      <c r="HX32" s="115" t="str">
        <f t="shared" si="112"/>
        <v/>
      </c>
      <c r="HY32" s="51" t="str">
        <f t="shared" si="113"/>
        <v/>
      </c>
      <c r="HZ32" s="51" t="str">
        <f t="shared" si="114"/>
        <v/>
      </c>
      <c r="IA32" s="49" t="str">
        <f t="shared" si="184"/>
        <v/>
      </c>
      <c r="IB32" s="52">
        <f t="shared" si="115"/>
        <v>0</v>
      </c>
      <c r="IC32" s="52">
        <f t="shared" si="116"/>
        <v>0</v>
      </c>
      <c r="ID32" s="52">
        <f t="shared" si="117"/>
        <v>0</v>
      </c>
      <c r="IE32" s="215">
        <f>IF(IA32="",0,MAX(IB32:IC32:ID32))</f>
        <v>0</v>
      </c>
      <c r="IF32" s="115" t="str">
        <f t="shared" si="118"/>
        <v/>
      </c>
      <c r="IG32" s="51" t="str">
        <f t="shared" si="119"/>
        <v/>
      </c>
      <c r="IH32" s="51" t="str">
        <f t="shared" si="120"/>
        <v/>
      </c>
      <c r="II32" s="49" t="str">
        <f t="shared" si="185"/>
        <v/>
      </c>
      <c r="IJ32" s="52">
        <f t="shared" si="121"/>
        <v>0</v>
      </c>
      <c r="IK32" s="52">
        <f t="shared" si="122"/>
        <v>0</v>
      </c>
      <c r="IL32" s="52">
        <f t="shared" si="123"/>
        <v>0</v>
      </c>
      <c r="IM32" s="215">
        <f>IF(II32="",0,MAX(IJ32:IK32:IL32))</f>
        <v>0</v>
      </c>
      <c r="IN32" s="115" t="str">
        <f t="shared" si="124"/>
        <v/>
      </c>
      <c r="IO32" s="51" t="str">
        <f t="shared" si="125"/>
        <v/>
      </c>
      <c r="IP32" s="51" t="str">
        <f t="shared" si="126"/>
        <v/>
      </c>
      <c r="IQ32" s="49" t="str">
        <f t="shared" si="186"/>
        <v/>
      </c>
      <c r="IR32" s="52">
        <f t="shared" si="127"/>
        <v>0</v>
      </c>
      <c r="IS32" s="52">
        <f t="shared" si="128"/>
        <v>0</v>
      </c>
      <c r="IT32" s="52">
        <f t="shared" si="129"/>
        <v>0</v>
      </c>
      <c r="IU32" s="215">
        <f>IF(IQ32="",0,MAX(IR32:IS32:IT32))</f>
        <v>0</v>
      </c>
    </row>
    <row r="33" spans="1:256" s="16" customFormat="1" ht="18" customHeight="1" thickTop="1" thickBot="1" x14ac:dyDescent="0.35">
      <c r="A33" s="902" t="str">
        <f t="shared" si="130"/>
        <v/>
      </c>
      <c r="B33" s="903"/>
      <c r="C33" s="708"/>
      <c r="D33" s="709" t="str">
        <f t="shared" si="131"/>
        <v/>
      </c>
      <c r="E33" s="843" t="str">
        <f>IF(D33="","",SUM(D$30:D33))</f>
        <v/>
      </c>
      <c r="F33" s="951"/>
      <c r="G33" s="952"/>
      <c r="H33" s="953"/>
      <c r="I33" s="954"/>
      <c r="J33" s="955"/>
      <c r="K33" s="956"/>
      <c r="L33" s="925"/>
      <c r="M33" s="927" t="str">
        <f t="shared" si="132"/>
        <v/>
      </c>
      <c r="N33" s="934" t="str">
        <f>IF(AND(H33="",I33=""),"",IF($D$19="x",1,IF($K$16="",LOOKUP((H33+I33),'Quadro 2 Ordenado'!$B$6:'Quadro 2 Ordenado'!$B$107,'Quadro 2 Ordenado'!$C$6:'Quadro 2 Ordenado'!$C$107),LOOKUP((H33+I33),'Quadro 2 Ordenado'!$B$6:'Quadro 2 Ordenado'!$B$107,'Quadro 2 Ordenado'!$D$6:'Quadro 2 Ordenado'!$D$107))))</f>
        <v/>
      </c>
      <c r="O33" s="50"/>
      <c r="P33" s="928" t="str">
        <f t="shared" si="133"/>
        <v/>
      </c>
      <c r="S33" s="935" t="str">
        <f t="shared" si="5"/>
        <v/>
      </c>
      <c r="T33" s="111" t="str">
        <f t="shared" si="6"/>
        <v/>
      </c>
      <c r="U33" s="926"/>
      <c r="V33" s="610" t="str">
        <f t="shared" ref="V33:V47" si="192">IF(T33="","",IF(U33&lt;&gt;"",U33,T33))</f>
        <v/>
      </c>
      <c r="W33" s="936" t="str">
        <f>IF(OR(T33="",T33=0),"",IF($V33&gt;'Quadro 3'!$F$23,'Quadro 3'!$F$23,IF($V33&lt;'Quadro 3'!$F$10,'Quadro 3'!$F$10,MIN($X33,$Y33))))</f>
        <v/>
      </c>
      <c r="X33" s="937" t="str">
        <f>IF($V33&lt;='Quadro 3'!$F$10,'Quadro 3'!$F$10,IF($V33&lt;='Quadro 3'!$F$11,'Quadro 3'!$F$11,IF($V33&lt;='Quadro 3'!$F$12,'Quadro 3'!$F$12,IF($V33&lt;='Quadro 3'!$F$13,'Quadro 3'!$F$13,IF($V33&lt;='Quadro 3'!$F$14,'Quadro 3'!$F$14,IF($V33&lt;='Quadro 3'!$F$15,'Quadro 3'!$F$15,IF($V33&lt;='Quadro 3'!$F$16,'Quadro 3'!$F$16,"")))))))</f>
        <v/>
      </c>
      <c r="Y33" s="938" t="str">
        <f>IF(OR(T33="",T33=0),"",IF($V33&lt;='Quadro 3'!$F$17,'Quadro 3'!$F$17,IF($V33&lt;='Quadro 3'!$F$18,'Quadro 3'!$F$18,IF($V33&lt;='Quadro 3'!$F$19,'Quadro 3'!$F$19,IF($V33&lt;='Quadro 3'!$F$20,'Quadro 3'!$F$20,IF($V33&lt;='Quadro 3'!$F$21,'Quadro 3'!$F$21,IF($V33&lt;='Quadro 3'!$F$22,'Quadro 3'!$F$22,IF($V33&lt;='Quadro 3'!$F$23,'Quadro 3'!$F$23,'Quadro 3'!$F$23))))))))</f>
        <v/>
      </c>
      <c r="Z33" s="936" t="str">
        <f>IF($W33="","",LOOKUP($W33,'Quadro 3'!$F$9:$F$23,'Quadro 3'!$G$9:$G$23))</f>
        <v/>
      </c>
      <c r="AA33" s="1129" t="str">
        <f>IF($W33="","",LOOKUP($W33,'Quadro 3'!$F$9:$F$23,'Quadro 3'!$D$9:$D$23))</f>
        <v/>
      </c>
      <c r="AB33" s="939" t="str">
        <f>IF($W33="","",LOOKUP($W33,'Quadro 3'!$F$9:$F$23,'Quadro 3'!$E$9:$E$23))</f>
        <v/>
      </c>
      <c r="AC33" s="929" t="str">
        <f t="shared" si="7"/>
        <v/>
      </c>
      <c r="AD33" s="1151" t="str">
        <f t="shared" si="134"/>
        <v/>
      </c>
      <c r="AE33" s="1152"/>
      <c r="AF33" s="1121" t="str">
        <f t="shared" si="8"/>
        <v/>
      </c>
      <c r="AG33" s="1123" t="str">
        <f t="shared" si="135"/>
        <v/>
      </c>
      <c r="AH33" s="931" t="str">
        <f t="shared" si="9"/>
        <v/>
      </c>
      <c r="AI33" s="932" t="str">
        <f t="shared" si="10"/>
        <v/>
      </c>
      <c r="AJ33" s="1153" t="str">
        <f t="shared" si="11"/>
        <v/>
      </c>
      <c r="AK33" s="1154"/>
      <c r="AL33" s="933" t="str">
        <f t="shared" si="136"/>
        <v/>
      </c>
      <c r="AM33" s="1138" t="str">
        <f t="shared" si="12"/>
        <v/>
      </c>
      <c r="AN33" s="1139"/>
      <c r="AO33" s="1140"/>
      <c r="AQ33" s="1126"/>
      <c r="AU33" s="1116">
        <f t="shared" si="187"/>
        <v>0</v>
      </c>
      <c r="AV33" s="350" t="str">
        <f t="shared" si="137"/>
        <v/>
      </c>
      <c r="AW33" s="241">
        <f t="shared" si="13"/>
        <v>0</v>
      </c>
      <c r="AX33" s="241" t="str">
        <f t="shared" si="14"/>
        <v/>
      </c>
      <c r="AY33" s="241" t="str">
        <f t="shared" si="15"/>
        <v/>
      </c>
      <c r="AZ33" s="241" t="str">
        <f t="shared" si="16"/>
        <v/>
      </c>
      <c r="BA33" s="2"/>
      <c r="BB33" s="2"/>
      <c r="BC33" s="2"/>
      <c r="BD33" s="2"/>
      <c r="BE33" s="2"/>
      <c r="BF33" s="2"/>
      <c r="BG33" s="2"/>
      <c r="BH33" s="2"/>
      <c r="BI33" s="350" t="str">
        <f t="shared" si="138"/>
        <v>0</v>
      </c>
      <c r="BJ33" s="350">
        <f t="shared" si="139"/>
        <v>0</v>
      </c>
      <c r="BK33" s="911" t="str">
        <f t="shared" si="140"/>
        <v>NA</v>
      </c>
      <c r="BL33" s="911" t="str">
        <f t="shared" si="141"/>
        <v/>
      </c>
      <c r="BM33" s="911" t="str">
        <f t="shared" si="142"/>
        <v/>
      </c>
      <c r="BN33" s="2"/>
      <c r="BO33" s="2"/>
      <c r="BP33" s="2"/>
      <c r="BQ33" s="2"/>
      <c r="BR33" s="2"/>
      <c r="BS33" s="2"/>
      <c r="BT33" s="2"/>
      <c r="BU33" s="2"/>
      <c r="BV33" s="350" t="str">
        <f t="shared" si="143"/>
        <v/>
      </c>
      <c r="BW33" s="235" t="str">
        <f t="shared" si="144"/>
        <v/>
      </c>
      <c r="BX33" s="235" t="str">
        <f t="shared" si="145"/>
        <v/>
      </c>
      <c r="BY33" s="235" t="str">
        <f t="shared" si="146"/>
        <v/>
      </c>
      <c r="BZ33" s="235" t="str">
        <f t="shared" si="147"/>
        <v/>
      </c>
      <c r="CA33" s="235" t="str">
        <f t="shared" si="148"/>
        <v/>
      </c>
      <c r="CB33" s="235" t="str">
        <f t="shared" si="149"/>
        <v/>
      </c>
      <c r="CC33" s="235" t="str">
        <f t="shared" si="150"/>
        <v/>
      </c>
      <c r="CD33" s="235" t="str">
        <f t="shared" si="151"/>
        <v/>
      </c>
      <c r="CE33" s="235" t="str">
        <f t="shared" si="152"/>
        <v/>
      </c>
      <c r="CF33" s="235" t="str">
        <f t="shared" si="153"/>
        <v/>
      </c>
      <c r="CG33" s="235" t="str">
        <f t="shared" si="154"/>
        <v/>
      </c>
      <c r="CH33" s="235" t="str">
        <f t="shared" si="155"/>
        <v/>
      </c>
      <c r="CI33" s="235" t="str">
        <f t="shared" si="156"/>
        <v/>
      </c>
      <c r="CJ33" s="235" t="str">
        <f t="shared" si="157"/>
        <v/>
      </c>
      <c r="CK33" s="235" t="str">
        <f t="shared" si="158"/>
        <v/>
      </c>
      <c r="CL33" s="235" t="str">
        <f t="shared" si="159"/>
        <v/>
      </c>
      <c r="CM33" s="235" t="str">
        <f t="shared" si="160"/>
        <v/>
      </c>
      <c r="CN33" s="235" t="str">
        <f t="shared" si="161"/>
        <v/>
      </c>
      <c r="CO33" s="235" t="str">
        <f t="shared" si="162"/>
        <v/>
      </c>
      <c r="CP33" s="235" t="str">
        <f t="shared" si="163"/>
        <v/>
      </c>
      <c r="CQ33" s="2">
        <v>4</v>
      </c>
      <c r="CR33" s="207" t="str">
        <f t="shared" si="164"/>
        <v/>
      </c>
      <c r="CS33" s="227" t="str">
        <f t="shared" si="165"/>
        <v/>
      </c>
      <c r="CT33" s="209" t="str">
        <f t="shared" si="188"/>
        <v/>
      </c>
      <c r="CU33" s="227" t="str">
        <f t="shared" si="17"/>
        <v/>
      </c>
      <c r="CV33" s="43">
        <f t="shared" si="189"/>
        <v>0</v>
      </c>
      <c r="CW33" s="209" t="str">
        <f t="shared" si="190"/>
        <v/>
      </c>
      <c r="CX33" s="204" t="str">
        <f t="shared" si="191"/>
        <v/>
      </c>
      <c r="CY33" s="43">
        <f t="shared" si="166"/>
        <v>0</v>
      </c>
      <c r="CZ33" s="44">
        <f>F33</f>
        <v>0</v>
      </c>
      <c r="DA33" s="45">
        <f>G33</f>
        <v>0</v>
      </c>
      <c r="DB33" s="46">
        <f t="shared" si="18"/>
        <v>0</v>
      </c>
      <c r="DC33" s="47" t="str">
        <f t="shared" si="168"/>
        <v/>
      </c>
      <c r="DD33" s="52">
        <f t="shared" si="19"/>
        <v>0</v>
      </c>
      <c r="DE33" s="52">
        <f t="shared" si="20"/>
        <v>0</v>
      </c>
      <c r="DF33" s="52">
        <f t="shared" si="21"/>
        <v>0</v>
      </c>
      <c r="DG33" s="215">
        <f>IF(DC33="",0,MAX(DD33:DE33:DF33))</f>
        <v>0</v>
      </c>
      <c r="DH33" s="115" t="str">
        <f t="shared" si="22"/>
        <v/>
      </c>
      <c r="DI33" s="51" t="str">
        <f t="shared" si="23"/>
        <v/>
      </c>
      <c r="DJ33" s="51" t="str">
        <f t="shared" si="24"/>
        <v/>
      </c>
      <c r="DK33" s="49" t="str">
        <f t="shared" si="169"/>
        <v/>
      </c>
      <c r="DL33" s="52">
        <f t="shared" si="25"/>
        <v>0</v>
      </c>
      <c r="DM33" s="52">
        <f t="shared" si="26"/>
        <v>0</v>
      </c>
      <c r="DN33" s="52">
        <f t="shared" si="27"/>
        <v>0</v>
      </c>
      <c r="DO33" s="215">
        <f>IF(DK33="",0,MAX(DL33:DM33:DN33))</f>
        <v>0</v>
      </c>
      <c r="DP33" s="115" t="str">
        <f t="shared" si="28"/>
        <v/>
      </c>
      <c r="DQ33" s="51" t="str">
        <f t="shared" si="29"/>
        <v/>
      </c>
      <c r="DR33" s="51" t="str">
        <f t="shared" si="30"/>
        <v/>
      </c>
      <c r="DS33" s="49" t="str">
        <f t="shared" si="170"/>
        <v/>
      </c>
      <c r="DT33" s="52">
        <f t="shared" si="31"/>
        <v>0</v>
      </c>
      <c r="DU33" s="52">
        <f t="shared" si="32"/>
        <v>0</v>
      </c>
      <c r="DV33" s="52">
        <f t="shared" si="33"/>
        <v>0</v>
      </c>
      <c r="DW33" s="215">
        <f>IF(DS33="",0,MAX(DT33:DU33:DV33))</f>
        <v>0</v>
      </c>
      <c r="DX33" s="115" t="str">
        <f t="shared" si="34"/>
        <v/>
      </c>
      <c r="DY33" s="51" t="str">
        <f t="shared" si="35"/>
        <v/>
      </c>
      <c r="DZ33" s="51" t="str">
        <f t="shared" si="36"/>
        <v/>
      </c>
      <c r="EA33" s="49" t="str">
        <f t="shared" si="171"/>
        <v/>
      </c>
      <c r="EB33" s="52">
        <f t="shared" si="37"/>
        <v>0</v>
      </c>
      <c r="EC33" s="52">
        <f t="shared" si="38"/>
        <v>0</v>
      </c>
      <c r="ED33" s="52">
        <f t="shared" si="39"/>
        <v>0</v>
      </c>
      <c r="EE33" s="215">
        <f>IF(EA33="",0,MAX(EB33:EC33:ED33))</f>
        <v>0</v>
      </c>
      <c r="EF33" s="115" t="str">
        <f t="shared" si="40"/>
        <v/>
      </c>
      <c r="EG33" s="51" t="str">
        <f t="shared" si="41"/>
        <v/>
      </c>
      <c r="EH33" s="51" t="str">
        <f t="shared" si="42"/>
        <v/>
      </c>
      <c r="EI33" s="49" t="str">
        <f t="shared" si="172"/>
        <v/>
      </c>
      <c r="EJ33" s="52">
        <f t="shared" si="43"/>
        <v>0</v>
      </c>
      <c r="EK33" s="52">
        <f t="shared" si="44"/>
        <v>0</v>
      </c>
      <c r="EL33" s="52">
        <f t="shared" si="45"/>
        <v>0</v>
      </c>
      <c r="EM33" s="215">
        <f>IF(EI33="",0,MAX(EJ33:EK33:EL33))</f>
        <v>0</v>
      </c>
      <c r="EN33" s="115" t="str">
        <f t="shared" si="46"/>
        <v/>
      </c>
      <c r="EO33" s="51" t="str">
        <f t="shared" si="47"/>
        <v/>
      </c>
      <c r="EP33" s="51" t="str">
        <f t="shared" si="48"/>
        <v/>
      </c>
      <c r="EQ33" s="49" t="str">
        <f t="shared" si="173"/>
        <v/>
      </c>
      <c r="ER33" s="52">
        <f t="shared" si="49"/>
        <v>0</v>
      </c>
      <c r="ES33" s="52">
        <f t="shared" si="50"/>
        <v>0</v>
      </c>
      <c r="ET33" s="52">
        <f t="shared" si="51"/>
        <v>0</v>
      </c>
      <c r="EU33" s="215">
        <f>IF(EQ33="",0,MAX(ER33:ES33:ET33))</f>
        <v>0</v>
      </c>
      <c r="EV33" s="115" t="str">
        <f t="shared" si="52"/>
        <v/>
      </c>
      <c r="EW33" s="51" t="str">
        <f t="shared" si="53"/>
        <v/>
      </c>
      <c r="EX33" s="51" t="str">
        <f t="shared" si="54"/>
        <v/>
      </c>
      <c r="EY33" s="49" t="str">
        <f t="shared" si="174"/>
        <v/>
      </c>
      <c r="EZ33" s="52">
        <f t="shared" si="55"/>
        <v>0</v>
      </c>
      <c r="FA33" s="52">
        <f t="shared" si="56"/>
        <v>0</v>
      </c>
      <c r="FB33" s="52">
        <f t="shared" si="57"/>
        <v>0</v>
      </c>
      <c r="FC33" s="215">
        <f>IF(EY33="",0,MAX(EZ33:FA33:FB33))</f>
        <v>0</v>
      </c>
      <c r="FD33" s="115" t="str">
        <f t="shared" si="58"/>
        <v/>
      </c>
      <c r="FE33" s="51" t="str">
        <f t="shared" si="59"/>
        <v/>
      </c>
      <c r="FF33" s="51" t="str">
        <f t="shared" si="60"/>
        <v/>
      </c>
      <c r="FG33" s="49" t="str">
        <f t="shared" si="175"/>
        <v/>
      </c>
      <c r="FH33" s="52">
        <f t="shared" si="61"/>
        <v>0</v>
      </c>
      <c r="FI33" s="52">
        <f t="shared" si="62"/>
        <v>0</v>
      </c>
      <c r="FJ33" s="52">
        <f t="shared" si="63"/>
        <v>0</v>
      </c>
      <c r="FK33" s="215">
        <f>IF(FG33="",0,MAX(FH33:FI33:FJ33))</f>
        <v>0</v>
      </c>
      <c r="FL33" s="115" t="str">
        <f t="shared" si="64"/>
        <v/>
      </c>
      <c r="FM33" s="51" t="str">
        <f t="shared" si="65"/>
        <v/>
      </c>
      <c r="FN33" s="51" t="str">
        <f t="shared" si="66"/>
        <v/>
      </c>
      <c r="FO33" s="49" t="str">
        <f t="shared" si="176"/>
        <v/>
      </c>
      <c r="FP33" s="52">
        <f t="shared" si="67"/>
        <v>0</v>
      </c>
      <c r="FQ33" s="52">
        <f t="shared" si="68"/>
        <v>0</v>
      </c>
      <c r="FR33" s="52">
        <f t="shared" si="69"/>
        <v>0</v>
      </c>
      <c r="FS33" s="215">
        <f>IF(FO33="",0,MAX(FP33:FQ33:FR33))</f>
        <v>0</v>
      </c>
      <c r="FT33" s="115" t="str">
        <f t="shared" si="70"/>
        <v/>
      </c>
      <c r="FU33" s="51" t="str">
        <f t="shared" si="71"/>
        <v/>
      </c>
      <c r="FV33" s="51" t="str">
        <f t="shared" si="72"/>
        <v/>
      </c>
      <c r="FW33" s="49" t="str">
        <f t="shared" si="177"/>
        <v/>
      </c>
      <c r="FX33" s="52">
        <f t="shared" si="73"/>
        <v>0</v>
      </c>
      <c r="FY33" s="52">
        <f t="shared" si="74"/>
        <v>0</v>
      </c>
      <c r="FZ33" s="52">
        <f t="shared" si="75"/>
        <v>0</v>
      </c>
      <c r="GA33" s="215">
        <f>IF(FW33="",0,MAX(FX33:FY33:FZ33))</f>
        <v>0</v>
      </c>
      <c r="GB33" s="115" t="str">
        <f t="shared" si="76"/>
        <v/>
      </c>
      <c r="GC33" s="51" t="str">
        <f t="shared" si="77"/>
        <v/>
      </c>
      <c r="GD33" s="51" t="str">
        <f t="shared" si="78"/>
        <v/>
      </c>
      <c r="GE33" s="49" t="str">
        <f t="shared" si="178"/>
        <v/>
      </c>
      <c r="GF33" s="52">
        <f t="shared" si="79"/>
        <v>0</v>
      </c>
      <c r="GG33" s="52">
        <f t="shared" si="80"/>
        <v>0</v>
      </c>
      <c r="GH33" s="52">
        <f t="shared" si="81"/>
        <v>0</v>
      </c>
      <c r="GI33" s="215">
        <f>IF(GE33="",0,MAX(GF33:GG33:GH33))</f>
        <v>0</v>
      </c>
      <c r="GJ33" s="115" t="str">
        <f t="shared" si="82"/>
        <v/>
      </c>
      <c r="GK33" s="51" t="str">
        <f t="shared" si="83"/>
        <v/>
      </c>
      <c r="GL33" s="51" t="str">
        <f t="shared" si="84"/>
        <v/>
      </c>
      <c r="GM33" s="49" t="str">
        <f t="shared" si="179"/>
        <v/>
      </c>
      <c r="GN33" s="52">
        <f t="shared" si="85"/>
        <v>0</v>
      </c>
      <c r="GO33" s="52">
        <f t="shared" si="86"/>
        <v>0</v>
      </c>
      <c r="GP33" s="52">
        <f t="shared" si="87"/>
        <v>0</v>
      </c>
      <c r="GQ33" s="215">
        <f>IF(GM33="",0,MAX(GN33:GO33:GP33))</f>
        <v>0</v>
      </c>
      <c r="GR33" s="115" t="str">
        <f t="shared" si="88"/>
        <v/>
      </c>
      <c r="GS33" s="51" t="str">
        <f t="shared" si="89"/>
        <v/>
      </c>
      <c r="GT33" s="51" t="str">
        <f t="shared" si="90"/>
        <v/>
      </c>
      <c r="GU33" s="49" t="str">
        <f t="shared" si="180"/>
        <v/>
      </c>
      <c r="GV33" s="52">
        <f t="shared" si="91"/>
        <v>0</v>
      </c>
      <c r="GW33" s="52">
        <f t="shared" si="92"/>
        <v>0</v>
      </c>
      <c r="GX33" s="52">
        <f t="shared" si="93"/>
        <v>0</v>
      </c>
      <c r="GY33" s="215">
        <f>IF(GU33="",0,MAX(GV33:GW33:GX33))</f>
        <v>0</v>
      </c>
      <c r="GZ33" s="115" t="str">
        <f t="shared" si="94"/>
        <v/>
      </c>
      <c r="HA33" s="51" t="str">
        <f t="shared" si="95"/>
        <v/>
      </c>
      <c r="HB33" s="51" t="str">
        <f t="shared" si="96"/>
        <v/>
      </c>
      <c r="HC33" s="49" t="str">
        <f t="shared" si="181"/>
        <v/>
      </c>
      <c r="HD33" s="52">
        <f t="shared" si="97"/>
        <v>0</v>
      </c>
      <c r="HE33" s="52">
        <f t="shared" si="98"/>
        <v>0</v>
      </c>
      <c r="HF33" s="52">
        <f t="shared" si="99"/>
        <v>0</v>
      </c>
      <c r="HG33" s="215">
        <f>IF(HC33="",0,MAX(HD33:HE33:HF33))</f>
        <v>0</v>
      </c>
      <c r="HH33" s="115" t="str">
        <f t="shared" si="100"/>
        <v/>
      </c>
      <c r="HI33" s="51" t="str">
        <f t="shared" si="101"/>
        <v/>
      </c>
      <c r="HJ33" s="51" t="str">
        <f t="shared" si="102"/>
        <v/>
      </c>
      <c r="HK33" s="49" t="str">
        <f t="shared" si="182"/>
        <v/>
      </c>
      <c r="HL33" s="52">
        <f t="shared" si="103"/>
        <v>0</v>
      </c>
      <c r="HM33" s="52">
        <f t="shared" si="104"/>
        <v>0</v>
      </c>
      <c r="HN33" s="52">
        <f t="shared" si="105"/>
        <v>0</v>
      </c>
      <c r="HO33" s="215">
        <f>IF(HK33="",0,MAX(HL33:HM33:HN33))</f>
        <v>0</v>
      </c>
      <c r="HP33" s="115" t="str">
        <f t="shared" si="106"/>
        <v/>
      </c>
      <c r="HQ33" s="51" t="str">
        <f t="shared" si="107"/>
        <v/>
      </c>
      <c r="HR33" s="51" t="str">
        <f t="shared" si="108"/>
        <v/>
      </c>
      <c r="HS33" s="49" t="str">
        <f t="shared" si="183"/>
        <v/>
      </c>
      <c r="HT33" s="52">
        <f t="shared" si="109"/>
        <v>0</v>
      </c>
      <c r="HU33" s="52">
        <f t="shared" si="110"/>
        <v>0</v>
      </c>
      <c r="HV33" s="52">
        <f t="shared" si="111"/>
        <v>0</v>
      </c>
      <c r="HW33" s="215">
        <f>IF(HS33="",0,MAX(HT33:HU33:HV33))</f>
        <v>0</v>
      </c>
      <c r="HX33" s="115" t="str">
        <f t="shared" si="112"/>
        <v/>
      </c>
      <c r="HY33" s="51" t="str">
        <f t="shared" si="113"/>
        <v/>
      </c>
      <c r="HZ33" s="51" t="str">
        <f t="shared" si="114"/>
        <v/>
      </c>
      <c r="IA33" s="49" t="str">
        <f t="shared" si="184"/>
        <v/>
      </c>
      <c r="IB33" s="52">
        <f t="shared" si="115"/>
        <v>0</v>
      </c>
      <c r="IC33" s="52">
        <f t="shared" si="116"/>
        <v>0</v>
      </c>
      <c r="ID33" s="52">
        <f t="shared" si="117"/>
        <v>0</v>
      </c>
      <c r="IE33" s="215">
        <f>IF(IA33="",0,MAX(IB33:IC33:ID33))</f>
        <v>0</v>
      </c>
      <c r="IF33" s="115" t="str">
        <f t="shared" si="118"/>
        <v/>
      </c>
      <c r="IG33" s="51" t="str">
        <f t="shared" si="119"/>
        <v/>
      </c>
      <c r="IH33" s="51" t="str">
        <f t="shared" si="120"/>
        <v/>
      </c>
      <c r="II33" s="49" t="str">
        <f t="shared" si="185"/>
        <v/>
      </c>
      <c r="IJ33" s="52">
        <f t="shared" si="121"/>
        <v>0</v>
      </c>
      <c r="IK33" s="52">
        <f t="shared" si="122"/>
        <v>0</v>
      </c>
      <c r="IL33" s="52">
        <f t="shared" si="123"/>
        <v>0</v>
      </c>
      <c r="IM33" s="215">
        <f>IF(II33="",0,MAX(IJ33:IK33:IL33))</f>
        <v>0</v>
      </c>
      <c r="IN33" s="115" t="str">
        <f t="shared" si="124"/>
        <v/>
      </c>
      <c r="IO33" s="51" t="str">
        <f t="shared" si="125"/>
        <v/>
      </c>
      <c r="IP33" s="51" t="str">
        <f t="shared" si="126"/>
        <v/>
      </c>
      <c r="IQ33" s="49" t="str">
        <f t="shared" si="186"/>
        <v/>
      </c>
      <c r="IR33" s="52">
        <f t="shared" si="127"/>
        <v>0</v>
      </c>
      <c r="IS33" s="52">
        <f t="shared" si="128"/>
        <v>0</v>
      </c>
      <c r="IT33" s="52">
        <f t="shared" si="129"/>
        <v>0</v>
      </c>
      <c r="IU33" s="215">
        <f>IF(IQ33="",0,MAX(IR33:IS33:IT33))</f>
        <v>0</v>
      </c>
    </row>
    <row r="34" spans="1:256" s="16" customFormat="1" ht="18" customHeight="1" thickTop="1" thickBot="1" x14ac:dyDescent="0.35">
      <c r="A34" s="902" t="str">
        <f t="shared" si="130"/>
        <v/>
      </c>
      <c r="B34" s="903"/>
      <c r="C34" s="708"/>
      <c r="D34" s="709" t="str">
        <f t="shared" si="131"/>
        <v/>
      </c>
      <c r="E34" s="843" t="str">
        <f>IF(D34="","",SUM(D$30:D34))</f>
        <v/>
      </c>
      <c r="F34" s="951"/>
      <c r="G34" s="952"/>
      <c r="H34" s="953"/>
      <c r="I34" s="954"/>
      <c r="J34" s="955"/>
      <c r="K34" s="956"/>
      <c r="L34" s="925"/>
      <c r="M34" s="927" t="str">
        <f t="shared" si="132"/>
        <v/>
      </c>
      <c r="N34" s="934" t="str">
        <f>IF(AND(H34="",I34=""),"",IF($D$19="x",1,IF($K$16="",LOOKUP((H34+I34),'Quadro 2 Ordenado'!$B$6:'Quadro 2 Ordenado'!$B$107,'Quadro 2 Ordenado'!$C$6:'Quadro 2 Ordenado'!$C$107),LOOKUP((H34+I34),'Quadro 2 Ordenado'!$B$6:'Quadro 2 Ordenado'!$B$107,'Quadro 2 Ordenado'!$D$6:'Quadro 2 Ordenado'!$D$107))))</f>
        <v/>
      </c>
      <c r="O34" s="50"/>
      <c r="P34" s="928" t="str">
        <f t="shared" si="133"/>
        <v/>
      </c>
      <c r="S34" s="935" t="str">
        <f t="shared" si="5"/>
        <v/>
      </c>
      <c r="T34" s="111" t="str">
        <f t="shared" si="6"/>
        <v/>
      </c>
      <c r="U34" s="926"/>
      <c r="V34" s="610" t="str">
        <f t="shared" si="192"/>
        <v/>
      </c>
      <c r="W34" s="936" t="str">
        <f>IF(OR(T34="",T34=0),"",IF($V34&gt;'Quadro 3'!$F$23,'Quadro 3'!$F$23,IF($V34&lt;'Quadro 3'!$F$10,'Quadro 3'!$F$10,MIN($X34,$Y34))))</f>
        <v/>
      </c>
      <c r="X34" s="937" t="str">
        <f>IF($V34&lt;='Quadro 3'!$F$10,'Quadro 3'!$F$10,IF($V34&lt;='Quadro 3'!$F$11,'Quadro 3'!$F$11,IF($V34&lt;='Quadro 3'!$F$12,'Quadro 3'!$F$12,IF($V34&lt;='Quadro 3'!$F$13,'Quadro 3'!$F$13,IF($V34&lt;='Quadro 3'!$F$14,'Quadro 3'!$F$14,IF($V34&lt;='Quadro 3'!$F$15,'Quadro 3'!$F$15,IF($V34&lt;='Quadro 3'!$F$16,'Quadro 3'!$F$16,"")))))))</f>
        <v/>
      </c>
      <c r="Y34" s="938" t="str">
        <f>IF(OR(T34="",T34=0),"",IF($V34&lt;='Quadro 3'!$F$17,'Quadro 3'!$F$17,IF($V34&lt;='Quadro 3'!$F$18,'Quadro 3'!$F$18,IF($V34&lt;='Quadro 3'!$F$19,'Quadro 3'!$F$19,IF($V34&lt;='Quadro 3'!$F$20,'Quadro 3'!$F$20,IF($V34&lt;='Quadro 3'!$F$21,'Quadro 3'!$F$21,IF($V34&lt;='Quadro 3'!$F$22,'Quadro 3'!$F$22,IF($V34&lt;='Quadro 3'!$F$23,'Quadro 3'!$F$23,'Quadro 3'!$F$23))))))))</f>
        <v/>
      </c>
      <c r="Z34" s="936" t="str">
        <f>IF($W34="","",LOOKUP($W34,'Quadro 3'!$F$9:$F$23,'Quadro 3'!$G$9:$G$23))</f>
        <v/>
      </c>
      <c r="AA34" s="1129" t="str">
        <f>IF($W34="","",LOOKUP($W34,'Quadro 3'!$F$9:$F$23,'Quadro 3'!$D$9:$D$23))</f>
        <v/>
      </c>
      <c r="AB34" s="939" t="str">
        <f>IF($W34="","",LOOKUP($W34,'Quadro 3'!$F$9:$F$23,'Quadro 3'!$E$9:$E$23))</f>
        <v/>
      </c>
      <c r="AC34" s="929" t="str">
        <f t="shared" si="7"/>
        <v/>
      </c>
      <c r="AD34" s="1151" t="str">
        <f t="shared" si="134"/>
        <v/>
      </c>
      <c r="AE34" s="1152"/>
      <c r="AF34" s="1121" t="str">
        <f t="shared" si="8"/>
        <v/>
      </c>
      <c r="AG34" s="1123" t="str">
        <f t="shared" si="135"/>
        <v/>
      </c>
      <c r="AH34" s="931" t="str">
        <f t="shared" si="9"/>
        <v/>
      </c>
      <c r="AI34" s="932" t="str">
        <f t="shared" si="10"/>
        <v/>
      </c>
      <c r="AJ34" s="1153" t="str">
        <f t="shared" si="11"/>
        <v/>
      </c>
      <c r="AK34" s="1154"/>
      <c r="AL34" s="933" t="str">
        <f t="shared" si="136"/>
        <v/>
      </c>
      <c r="AM34" s="1138" t="str">
        <f t="shared" si="12"/>
        <v/>
      </c>
      <c r="AN34" s="1139"/>
      <c r="AO34" s="1140"/>
      <c r="AQ34" s="1126"/>
      <c r="AU34" s="1116">
        <f t="shared" si="187"/>
        <v>0</v>
      </c>
      <c r="AV34" s="350" t="str">
        <f t="shared" si="137"/>
        <v/>
      </c>
      <c r="AW34" s="241">
        <f t="shared" si="13"/>
        <v>0</v>
      </c>
      <c r="AX34" s="241" t="str">
        <f t="shared" si="14"/>
        <v/>
      </c>
      <c r="AY34" s="241" t="str">
        <f t="shared" si="15"/>
        <v/>
      </c>
      <c r="AZ34" s="241" t="str">
        <f t="shared" si="16"/>
        <v/>
      </c>
      <c r="BA34" s="2"/>
      <c r="BB34" s="2"/>
      <c r="BC34" s="2"/>
      <c r="BD34" s="2"/>
      <c r="BE34" s="2"/>
      <c r="BF34" s="2"/>
      <c r="BG34" s="2"/>
      <c r="BH34" s="2"/>
      <c r="BI34" s="350" t="str">
        <f t="shared" si="138"/>
        <v>0</v>
      </c>
      <c r="BJ34" s="350">
        <f t="shared" si="139"/>
        <v>0</v>
      </c>
      <c r="BK34" s="911" t="str">
        <f t="shared" si="140"/>
        <v>NA</v>
      </c>
      <c r="BL34" s="911" t="str">
        <f t="shared" si="141"/>
        <v/>
      </c>
      <c r="BM34" s="911" t="str">
        <f t="shared" si="142"/>
        <v/>
      </c>
      <c r="BN34" s="2"/>
      <c r="BO34" s="2"/>
      <c r="BP34" s="2"/>
      <c r="BQ34" s="2"/>
      <c r="BR34" s="2"/>
      <c r="BS34" s="2"/>
      <c r="BT34" s="2"/>
      <c r="BU34" s="2"/>
      <c r="BV34" s="350" t="str">
        <f t="shared" si="143"/>
        <v/>
      </c>
      <c r="BW34" s="235" t="str">
        <f t="shared" si="144"/>
        <v/>
      </c>
      <c r="BX34" s="235" t="str">
        <f t="shared" si="145"/>
        <v/>
      </c>
      <c r="BY34" s="235" t="str">
        <f t="shared" si="146"/>
        <v/>
      </c>
      <c r="BZ34" s="235" t="str">
        <f t="shared" si="147"/>
        <v/>
      </c>
      <c r="CA34" s="235" t="str">
        <f t="shared" si="148"/>
        <v/>
      </c>
      <c r="CB34" s="235" t="str">
        <f t="shared" si="149"/>
        <v/>
      </c>
      <c r="CC34" s="235" t="str">
        <f t="shared" si="150"/>
        <v/>
      </c>
      <c r="CD34" s="235" t="str">
        <f t="shared" si="151"/>
        <v/>
      </c>
      <c r="CE34" s="235" t="str">
        <f t="shared" si="152"/>
        <v/>
      </c>
      <c r="CF34" s="235" t="str">
        <f t="shared" si="153"/>
        <v/>
      </c>
      <c r="CG34" s="235" t="str">
        <f t="shared" si="154"/>
        <v/>
      </c>
      <c r="CH34" s="235" t="str">
        <f t="shared" si="155"/>
        <v/>
      </c>
      <c r="CI34" s="235" t="str">
        <f t="shared" si="156"/>
        <v/>
      </c>
      <c r="CJ34" s="235" t="str">
        <f t="shared" si="157"/>
        <v/>
      </c>
      <c r="CK34" s="235" t="str">
        <f t="shared" si="158"/>
        <v/>
      </c>
      <c r="CL34" s="235" t="str">
        <f t="shared" si="159"/>
        <v/>
      </c>
      <c r="CM34" s="235" t="str">
        <f t="shared" si="160"/>
        <v/>
      </c>
      <c r="CN34" s="235" t="str">
        <f t="shared" si="161"/>
        <v/>
      </c>
      <c r="CO34" s="235" t="str">
        <f t="shared" si="162"/>
        <v/>
      </c>
      <c r="CP34" s="235" t="str">
        <f t="shared" si="163"/>
        <v/>
      </c>
      <c r="CQ34" s="2">
        <v>5</v>
      </c>
      <c r="CR34" s="207" t="str">
        <f t="shared" si="164"/>
        <v/>
      </c>
      <c r="CS34" s="227" t="str">
        <f t="shared" si="165"/>
        <v/>
      </c>
      <c r="CT34" s="209" t="str">
        <f t="shared" si="188"/>
        <v/>
      </c>
      <c r="CU34" s="227" t="str">
        <f t="shared" si="17"/>
        <v/>
      </c>
      <c r="CV34" s="43">
        <f t="shared" si="189"/>
        <v>0</v>
      </c>
      <c r="CW34" s="209" t="str">
        <f t="shared" si="190"/>
        <v/>
      </c>
      <c r="CX34" s="204" t="str">
        <f t="shared" si="191"/>
        <v/>
      </c>
      <c r="CY34" s="43">
        <f t="shared" si="166"/>
        <v>0</v>
      </c>
      <c r="CZ34" s="44">
        <f>F34</f>
        <v>0</v>
      </c>
      <c r="DA34" s="45">
        <f t="shared" si="167"/>
        <v>0</v>
      </c>
      <c r="DB34" s="46">
        <f t="shared" si="18"/>
        <v>0</v>
      </c>
      <c r="DC34" s="47" t="str">
        <f t="shared" si="168"/>
        <v/>
      </c>
      <c r="DD34" s="52">
        <f t="shared" si="19"/>
        <v>0</v>
      </c>
      <c r="DE34" s="52">
        <f t="shared" si="20"/>
        <v>0</v>
      </c>
      <c r="DF34" s="52">
        <f t="shared" si="21"/>
        <v>0</v>
      </c>
      <c r="DG34" s="215">
        <f>IF(DC34="",0,MAX(DD34:DE34:DF34))</f>
        <v>0</v>
      </c>
      <c r="DH34" s="115" t="str">
        <f t="shared" si="22"/>
        <v/>
      </c>
      <c r="DI34" s="51" t="str">
        <f t="shared" si="23"/>
        <v/>
      </c>
      <c r="DJ34" s="51" t="str">
        <f t="shared" si="24"/>
        <v/>
      </c>
      <c r="DK34" s="49" t="str">
        <f t="shared" si="169"/>
        <v/>
      </c>
      <c r="DL34" s="52">
        <f t="shared" si="25"/>
        <v>0</v>
      </c>
      <c r="DM34" s="52">
        <f t="shared" si="26"/>
        <v>0</v>
      </c>
      <c r="DN34" s="52">
        <f t="shared" si="27"/>
        <v>0</v>
      </c>
      <c r="DO34" s="215">
        <f>IF(DK34="",0,MAX(DL34:DM34:DN34))</f>
        <v>0</v>
      </c>
      <c r="DP34" s="115" t="str">
        <f t="shared" si="28"/>
        <v/>
      </c>
      <c r="DQ34" s="51" t="str">
        <f t="shared" si="29"/>
        <v/>
      </c>
      <c r="DR34" s="51" t="str">
        <f t="shared" si="30"/>
        <v/>
      </c>
      <c r="DS34" s="49" t="str">
        <f t="shared" si="170"/>
        <v/>
      </c>
      <c r="DT34" s="52">
        <f t="shared" si="31"/>
        <v>0</v>
      </c>
      <c r="DU34" s="52">
        <f t="shared" si="32"/>
        <v>0</v>
      </c>
      <c r="DV34" s="52">
        <f t="shared" si="33"/>
        <v>0</v>
      </c>
      <c r="DW34" s="215">
        <f>IF(DS34="",0,MAX(DT34:DU34:DV34))</f>
        <v>0</v>
      </c>
      <c r="DX34" s="115" t="str">
        <f t="shared" si="34"/>
        <v/>
      </c>
      <c r="DY34" s="51" t="str">
        <f t="shared" si="35"/>
        <v/>
      </c>
      <c r="DZ34" s="51" t="str">
        <f t="shared" si="36"/>
        <v/>
      </c>
      <c r="EA34" s="49" t="str">
        <f t="shared" si="171"/>
        <v/>
      </c>
      <c r="EB34" s="52">
        <f t="shared" si="37"/>
        <v>0</v>
      </c>
      <c r="EC34" s="52">
        <f t="shared" si="38"/>
        <v>0</v>
      </c>
      <c r="ED34" s="52">
        <f t="shared" si="39"/>
        <v>0</v>
      </c>
      <c r="EE34" s="215">
        <f>IF(EA34="",0,MAX(EB34:EC34:ED34))</f>
        <v>0</v>
      </c>
      <c r="EF34" s="115" t="str">
        <f t="shared" si="40"/>
        <v/>
      </c>
      <c r="EG34" s="51" t="str">
        <f t="shared" si="41"/>
        <v/>
      </c>
      <c r="EH34" s="51" t="str">
        <f t="shared" si="42"/>
        <v/>
      </c>
      <c r="EI34" s="49" t="str">
        <f t="shared" si="172"/>
        <v/>
      </c>
      <c r="EJ34" s="52">
        <f t="shared" si="43"/>
        <v>0</v>
      </c>
      <c r="EK34" s="52">
        <f t="shared" si="44"/>
        <v>0</v>
      </c>
      <c r="EL34" s="52">
        <f t="shared" si="45"/>
        <v>0</v>
      </c>
      <c r="EM34" s="215">
        <f>IF(EI34="",0,MAX(EJ34:EK34:EL34))</f>
        <v>0</v>
      </c>
      <c r="EN34" s="115" t="str">
        <f t="shared" si="46"/>
        <v/>
      </c>
      <c r="EO34" s="51" t="str">
        <f t="shared" si="47"/>
        <v/>
      </c>
      <c r="EP34" s="51" t="str">
        <f t="shared" si="48"/>
        <v/>
      </c>
      <c r="EQ34" s="49" t="str">
        <f t="shared" si="173"/>
        <v/>
      </c>
      <c r="ER34" s="52">
        <f t="shared" si="49"/>
        <v>0</v>
      </c>
      <c r="ES34" s="52">
        <f t="shared" si="50"/>
        <v>0</v>
      </c>
      <c r="ET34" s="52">
        <f t="shared" si="51"/>
        <v>0</v>
      </c>
      <c r="EU34" s="215">
        <f>IF(EQ34="",0,MAX(ER34:ES34:ET34))</f>
        <v>0</v>
      </c>
      <c r="EV34" s="115" t="str">
        <f t="shared" si="52"/>
        <v/>
      </c>
      <c r="EW34" s="51" t="str">
        <f t="shared" si="53"/>
        <v/>
      </c>
      <c r="EX34" s="51" t="str">
        <f t="shared" si="54"/>
        <v/>
      </c>
      <c r="EY34" s="49" t="str">
        <f t="shared" si="174"/>
        <v/>
      </c>
      <c r="EZ34" s="52">
        <f t="shared" si="55"/>
        <v>0</v>
      </c>
      <c r="FA34" s="52">
        <f t="shared" si="56"/>
        <v>0</v>
      </c>
      <c r="FB34" s="52">
        <f t="shared" si="57"/>
        <v>0</v>
      </c>
      <c r="FC34" s="215">
        <f>IF(EY34="",0,MAX(EZ34:FA34:FB34))</f>
        <v>0</v>
      </c>
      <c r="FD34" s="115" t="str">
        <f t="shared" si="58"/>
        <v/>
      </c>
      <c r="FE34" s="51" t="str">
        <f t="shared" si="59"/>
        <v/>
      </c>
      <c r="FF34" s="51" t="str">
        <f t="shared" si="60"/>
        <v/>
      </c>
      <c r="FG34" s="49" t="str">
        <f t="shared" si="175"/>
        <v/>
      </c>
      <c r="FH34" s="52">
        <f t="shared" si="61"/>
        <v>0</v>
      </c>
      <c r="FI34" s="52">
        <f t="shared" si="62"/>
        <v>0</v>
      </c>
      <c r="FJ34" s="52">
        <f t="shared" si="63"/>
        <v>0</v>
      </c>
      <c r="FK34" s="215">
        <f>IF(FG34="",0,MAX(FH34:FI34:FJ34))</f>
        <v>0</v>
      </c>
      <c r="FL34" s="115" t="str">
        <f t="shared" si="64"/>
        <v/>
      </c>
      <c r="FM34" s="51" t="str">
        <f t="shared" si="65"/>
        <v/>
      </c>
      <c r="FN34" s="51" t="str">
        <f t="shared" si="66"/>
        <v/>
      </c>
      <c r="FO34" s="49" t="str">
        <f t="shared" si="176"/>
        <v/>
      </c>
      <c r="FP34" s="52">
        <f t="shared" si="67"/>
        <v>0</v>
      </c>
      <c r="FQ34" s="52">
        <f t="shared" si="68"/>
        <v>0</v>
      </c>
      <c r="FR34" s="52">
        <f t="shared" si="69"/>
        <v>0</v>
      </c>
      <c r="FS34" s="215">
        <f>IF(FO34="",0,MAX(FP34:FQ34:FR34))</f>
        <v>0</v>
      </c>
      <c r="FT34" s="115" t="str">
        <f t="shared" si="70"/>
        <v/>
      </c>
      <c r="FU34" s="51" t="str">
        <f t="shared" si="71"/>
        <v/>
      </c>
      <c r="FV34" s="51" t="str">
        <f t="shared" si="72"/>
        <v/>
      </c>
      <c r="FW34" s="49" t="str">
        <f t="shared" si="177"/>
        <v/>
      </c>
      <c r="FX34" s="52">
        <f t="shared" si="73"/>
        <v>0</v>
      </c>
      <c r="FY34" s="52">
        <f t="shared" si="74"/>
        <v>0</v>
      </c>
      <c r="FZ34" s="52">
        <f t="shared" si="75"/>
        <v>0</v>
      </c>
      <c r="GA34" s="215">
        <f>IF(FW34="",0,MAX(FX34:FY34:FZ34))</f>
        <v>0</v>
      </c>
      <c r="GB34" s="115" t="str">
        <f t="shared" si="76"/>
        <v/>
      </c>
      <c r="GC34" s="51" t="str">
        <f t="shared" si="77"/>
        <v/>
      </c>
      <c r="GD34" s="51" t="str">
        <f t="shared" si="78"/>
        <v/>
      </c>
      <c r="GE34" s="49" t="str">
        <f t="shared" si="178"/>
        <v/>
      </c>
      <c r="GF34" s="52">
        <f t="shared" si="79"/>
        <v>0</v>
      </c>
      <c r="GG34" s="52">
        <f t="shared" si="80"/>
        <v>0</v>
      </c>
      <c r="GH34" s="52">
        <f t="shared" si="81"/>
        <v>0</v>
      </c>
      <c r="GI34" s="215">
        <f>IF(GE34="",0,MAX(GF34:GG34:GH34))</f>
        <v>0</v>
      </c>
      <c r="GJ34" s="115" t="str">
        <f t="shared" si="82"/>
        <v/>
      </c>
      <c r="GK34" s="51" t="str">
        <f t="shared" si="83"/>
        <v/>
      </c>
      <c r="GL34" s="51" t="str">
        <f t="shared" si="84"/>
        <v/>
      </c>
      <c r="GM34" s="49" t="str">
        <f t="shared" si="179"/>
        <v/>
      </c>
      <c r="GN34" s="52">
        <f t="shared" si="85"/>
        <v>0</v>
      </c>
      <c r="GO34" s="52">
        <f t="shared" si="86"/>
        <v>0</v>
      </c>
      <c r="GP34" s="52">
        <f t="shared" si="87"/>
        <v>0</v>
      </c>
      <c r="GQ34" s="215">
        <f>IF(GM34="",0,MAX(GN34:GO34:GP34))</f>
        <v>0</v>
      </c>
      <c r="GR34" s="115" t="str">
        <f t="shared" si="88"/>
        <v/>
      </c>
      <c r="GS34" s="51" t="str">
        <f t="shared" si="89"/>
        <v/>
      </c>
      <c r="GT34" s="51" t="str">
        <f t="shared" si="90"/>
        <v/>
      </c>
      <c r="GU34" s="49" t="str">
        <f t="shared" si="180"/>
        <v/>
      </c>
      <c r="GV34" s="52">
        <f t="shared" si="91"/>
        <v>0</v>
      </c>
      <c r="GW34" s="52">
        <f t="shared" si="92"/>
        <v>0</v>
      </c>
      <c r="GX34" s="52">
        <f t="shared" si="93"/>
        <v>0</v>
      </c>
      <c r="GY34" s="215">
        <f>IF(GU34="",0,MAX(GV34:GW34:GX34))</f>
        <v>0</v>
      </c>
      <c r="GZ34" s="115" t="str">
        <f t="shared" si="94"/>
        <v/>
      </c>
      <c r="HA34" s="51" t="str">
        <f t="shared" si="95"/>
        <v/>
      </c>
      <c r="HB34" s="51" t="str">
        <f t="shared" si="96"/>
        <v/>
      </c>
      <c r="HC34" s="49" t="str">
        <f t="shared" si="181"/>
        <v/>
      </c>
      <c r="HD34" s="52">
        <f t="shared" si="97"/>
        <v>0</v>
      </c>
      <c r="HE34" s="52">
        <f t="shared" si="98"/>
        <v>0</v>
      </c>
      <c r="HF34" s="52">
        <f t="shared" si="99"/>
        <v>0</v>
      </c>
      <c r="HG34" s="215">
        <f>IF(HC34="",0,MAX(HD34:HE34:HF34))</f>
        <v>0</v>
      </c>
      <c r="HH34" s="115" t="str">
        <f t="shared" si="100"/>
        <v/>
      </c>
      <c r="HI34" s="51" t="str">
        <f t="shared" si="101"/>
        <v/>
      </c>
      <c r="HJ34" s="51" t="str">
        <f t="shared" si="102"/>
        <v/>
      </c>
      <c r="HK34" s="49" t="str">
        <f t="shared" si="182"/>
        <v/>
      </c>
      <c r="HL34" s="52">
        <f t="shared" si="103"/>
        <v>0</v>
      </c>
      <c r="HM34" s="52">
        <f t="shared" si="104"/>
        <v>0</v>
      </c>
      <c r="HN34" s="52">
        <f t="shared" si="105"/>
        <v>0</v>
      </c>
      <c r="HO34" s="215">
        <f>IF(HK34="",0,MAX(HL34:HM34:HN34))</f>
        <v>0</v>
      </c>
      <c r="HP34" s="115" t="str">
        <f t="shared" si="106"/>
        <v/>
      </c>
      <c r="HQ34" s="51" t="str">
        <f t="shared" si="107"/>
        <v/>
      </c>
      <c r="HR34" s="51" t="str">
        <f t="shared" si="108"/>
        <v/>
      </c>
      <c r="HS34" s="49" t="str">
        <f t="shared" si="183"/>
        <v/>
      </c>
      <c r="HT34" s="52">
        <f t="shared" si="109"/>
        <v>0</v>
      </c>
      <c r="HU34" s="52">
        <f t="shared" si="110"/>
        <v>0</v>
      </c>
      <c r="HV34" s="52">
        <f t="shared" si="111"/>
        <v>0</v>
      </c>
      <c r="HW34" s="215">
        <f>IF(HS34="",0,MAX(HT34:HU34:HV34))</f>
        <v>0</v>
      </c>
      <c r="HX34" s="115" t="str">
        <f t="shared" si="112"/>
        <v/>
      </c>
      <c r="HY34" s="51" t="str">
        <f t="shared" si="113"/>
        <v/>
      </c>
      <c r="HZ34" s="51" t="str">
        <f t="shared" si="114"/>
        <v/>
      </c>
      <c r="IA34" s="49" t="str">
        <f t="shared" si="184"/>
        <v/>
      </c>
      <c r="IB34" s="52">
        <f t="shared" si="115"/>
        <v>0</v>
      </c>
      <c r="IC34" s="52">
        <f t="shared" si="116"/>
        <v>0</v>
      </c>
      <c r="ID34" s="52">
        <f t="shared" si="117"/>
        <v>0</v>
      </c>
      <c r="IE34" s="215">
        <f>IF(IA34="",0,MAX(IB34:IC34:ID34))</f>
        <v>0</v>
      </c>
      <c r="IF34" s="115" t="str">
        <f t="shared" si="118"/>
        <v/>
      </c>
      <c r="IG34" s="51" t="str">
        <f t="shared" si="119"/>
        <v/>
      </c>
      <c r="IH34" s="51" t="str">
        <f t="shared" si="120"/>
        <v/>
      </c>
      <c r="II34" s="49" t="str">
        <f t="shared" si="185"/>
        <v/>
      </c>
      <c r="IJ34" s="52">
        <f t="shared" si="121"/>
        <v>0</v>
      </c>
      <c r="IK34" s="52">
        <f t="shared" si="122"/>
        <v>0</v>
      </c>
      <c r="IL34" s="52">
        <f t="shared" si="123"/>
        <v>0</v>
      </c>
      <c r="IM34" s="215">
        <f>IF(II34="",0,MAX(IJ34:IK34:IL34))</f>
        <v>0</v>
      </c>
      <c r="IN34" s="115" t="str">
        <f t="shared" si="124"/>
        <v/>
      </c>
      <c r="IO34" s="51" t="str">
        <f t="shared" si="125"/>
        <v/>
      </c>
      <c r="IP34" s="51" t="str">
        <f t="shared" si="126"/>
        <v/>
      </c>
      <c r="IQ34" s="49" t="str">
        <f t="shared" si="186"/>
        <v/>
      </c>
      <c r="IR34" s="52">
        <f t="shared" si="127"/>
        <v>0</v>
      </c>
      <c r="IS34" s="52">
        <f t="shared" si="128"/>
        <v>0</v>
      </c>
      <c r="IT34" s="52">
        <f t="shared" si="129"/>
        <v>0</v>
      </c>
      <c r="IU34" s="215">
        <f>IF(IQ34="",0,MAX(IR34:IS34:IT34))</f>
        <v>0</v>
      </c>
    </row>
    <row r="35" spans="1:256" s="16" customFormat="1" ht="18" customHeight="1" thickTop="1" thickBot="1" x14ac:dyDescent="0.35">
      <c r="A35" s="902" t="str">
        <f t="shared" si="130"/>
        <v/>
      </c>
      <c r="B35" s="903"/>
      <c r="C35" s="708"/>
      <c r="D35" s="709" t="str">
        <f t="shared" si="131"/>
        <v/>
      </c>
      <c r="E35" s="843" t="str">
        <f>IF(D35="","",SUM(D$30:D35))</f>
        <v/>
      </c>
      <c r="F35" s="951"/>
      <c r="G35" s="952"/>
      <c r="H35" s="953"/>
      <c r="I35" s="954"/>
      <c r="J35" s="955"/>
      <c r="K35" s="956"/>
      <c r="L35" s="925"/>
      <c r="M35" s="927" t="str">
        <f t="shared" si="132"/>
        <v/>
      </c>
      <c r="N35" s="934" t="str">
        <f>IF(AND(H35="",I35=""),"",IF($D$19="x",1,IF($K$16="",LOOKUP((H35+I35),'Quadro 2 Ordenado'!$B$6:'Quadro 2 Ordenado'!$B$107,'Quadro 2 Ordenado'!$C$6:'Quadro 2 Ordenado'!$C$107),LOOKUP((H35+I35),'Quadro 2 Ordenado'!$B$6:'Quadro 2 Ordenado'!$B$107,'Quadro 2 Ordenado'!$D$6:'Quadro 2 Ordenado'!$D$107))))</f>
        <v/>
      </c>
      <c r="O35" s="50"/>
      <c r="P35" s="928" t="str">
        <f t="shared" si="133"/>
        <v/>
      </c>
      <c r="S35" s="935" t="str">
        <f t="shared" si="5"/>
        <v/>
      </c>
      <c r="T35" s="111" t="str">
        <f t="shared" si="6"/>
        <v/>
      </c>
      <c r="U35" s="926"/>
      <c r="V35" s="610" t="str">
        <f t="shared" si="192"/>
        <v/>
      </c>
      <c r="W35" s="936" t="str">
        <f>IF(OR(T35="",T35=0),"",IF($V35&gt;'Quadro 3'!$F$23,'Quadro 3'!$F$23,IF($V35&lt;'Quadro 3'!$F$10,'Quadro 3'!$F$10,MIN($X35,$Y35))))</f>
        <v/>
      </c>
      <c r="X35" s="937" t="str">
        <f>IF($V35&lt;='Quadro 3'!$F$10,'Quadro 3'!$F$10,IF($V35&lt;='Quadro 3'!$F$11,'Quadro 3'!$F$11,IF($V35&lt;='Quadro 3'!$F$12,'Quadro 3'!$F$12,IF($V35&lt;='Quadro 3'!$F$13,'Quadro 3'!$F$13,IF($V35&lt;='Quadro 3'!$F$14,'Quadro 3'!$F$14,IF($V35&lt;='Quadro 3'!$F$15,'Quadro 3'!$F$15,IF($V35&lt;='Quadro 3'!$F$16,'Quadro 3'!$F$16,"")))))))</f>
        <v/>
      </c>
      <c r="Y35" s="938" t="str">
        <f>IF(OR(T35="",T35=0),"",IF($V35&lt;='Quadro 3'!$F$17,'Quadro 3'!$F$17,IF($V35&lt;='Quadro 3'!$F$18,'Quadro 3'!$F$18,IF($V35&lt;='Quadro 3'!$F$19,'Quadro 3'!$F$19,IF($V35&lt;='Quadro 3'!$F$20,'Quadro 3'!$F$20,IF($V35&lt;='Quadro 3'!$F$21,'Quadro 3'!$F$21,IF($V35&lt;='Quadro 3'!$F$22,'Quadro 3'!$F$22,IF($V35&lt;='Quadro 3'!$F$23,'Quadro 3'!$F$23,'Quadro 3'!$F$23))))))))</f>
        <v/>
      </c>
      <c r="Z35" s="936" t="str">
        <f>IF($W35="","",LOOKUP($W35,'Quadro 3'!$F$9:$F$23,'Quadro 3'!$G$9:$G$23))</f>
        <v/>
      </c>
      <c r="AA35" s="1129" t="str">
        <f>IF($W35="","",LOOKUP($W35,'Quadro 3'!$F$9:$F$23,'Quadro 3'!$D$9:$D$23))</f>
        <v/>
      </c>
      <c r="AB35" s="939" t="str">
        <f>IF($W35="","",LOOKUP($W35,'Quadro 3'!$F$9:$F$23,'Quadro 3'!$E$9:$E$23))</f>
        <v/>
      </c>
      <c r="AC35" s="929" t="str">
        <f t="shared" si="7"/>
        <v/>
      </c>
      <c r="AD35" s="1151" t="str">
        <f t="shared" si="134"/>
        <v/>
      </c>
      <c r="AE35" s="1152"/>
      <c r="AF35" s="1121" t="str">
        <f t="shared" si="8"/>
        <v/>
      </c>
      <c r="AG35" s="1123" t="str">
        <f t="shared" si="135"/>
        <v/>
      </c>
      <c r="AH35" s="931" t="str">
        <f t="shared" si="9"/>
        <v/>
      </c>
      <c r="AI35" s="932" t="str">
        <f t="shared" si="10"/>
        <v/>
      </c>
      <c r="AJ35" s="1153" t="str">
        <f t="shared" si="11"/>
        <v/>
      </c>
      <c r="AK35" s="1154"/>
      <c r="AL35" s="933" t="str">
        <f t="shared" si="136"/>
        <v/>
      </c>
      <c r="AM35" s="1138" t="str">
        <f t="shared" si="12"/>
        <v/>
      </c>
      <c r="AN35" s="1139"/>
      <c r="AO35" s="1140"/>
      <c r="AQ35" s="1126"/>
      <c r="AU35" s="1116">
        <f t="shared" si="187"/>
        <v>0</v>
      </c>
      <c r="AV35" s="350" t="str">
        <f t="shared" si="137"/>
        <v/>
      </c>
      <c r="AW35" s="241">
        <f t="shared" si="13"/>
        <v>0</v>
      </c>
      <c r="AX35" s="241" t="str">
        <f t="shared" si="14"/>
        <v/>
      </c>
      <c r="AY35" s="241" t="str">
        <f t="shared" si="15"/>
        <v/>
      </c>
      <c r="AZ35" s="241" t="str">
        <f t="shared" si="16"/>
        <v/>
      </c>
      <c r="BA35" s="2"/>
      <c r="BB35" s="2"/>
      <c r="BC35" s="2"/>
      <c r="BD35" s="2"/>
      <c r="BE35" s="2"/>
      <c r="BF35" s="2"/>
      <c r="BG35" s="2"/>
      <c r="BH35" s="2"/>
      <c r="BI35" s="350" t="str">
        <f t="shared" si="138"/>
        <v>0</v>
      </c>
      <c r="BJ35" s="350">
        <f t="shared" si="139"/>
        <v>0</v>
      </c>
      <c r="BK35" s="911" t="str">
        <f t="shared" si="140"/>
        <v>NA</v>
      </c>
      <c r="BL35" s="911" t="str">
        <f t="shared" si="141"/>
        <v/>
      </c>
      <c r="BM35" s="911" t="str">
        <f t="shared" si="142"/>
        <v/>
      </c>
      <c r="BN35" s="2"/>
      <c r="BO35" s="2"/>
      <c r="BP35" s="2"/>
      <c r="BQ35" s="2"/>
      <c r="BR35" s="2"/>
      <c r="BS35" s="2"/>
      <c r="BT35" s="2"/>
      <c r="BU35" s="2"/>
      <c r="BV35" s="350" t="str">
        <f t="shared" si="143"/>
        <v/>
      </c>
      <c r="BW35" s="235" t="str">
        <f t="shared" si="144"/>
        <v/>
      </c>
      <c r="BX35" s="235" t="str">
        <f t="shared" si="145"/>
        <v/>
      </c>
      <c r="BY35" s="235" t="str">
        <f t="shared" si="146"/>
        <v/>
      </c>
      <c r="BZ35" s="235" t="str">
        <f t="shared" si="147"/>
        <v/>
      </c>
      <c r="CA35" s="235" t="str">
        <f t="shared" si="148"/>
        <v/>
      </c>
      <c r="CB35" s="235" t="str">
        <f t="shared" si="149"/>
        <v/>
      </c>
      <c r="CC35" s="235" t="str">
        <f t="shared" si="150"/>
        <v/>
      </c>
      <c r="CD35" s="235" t="str">
        <f t="shared" si="151"/>
        <v/>
      </c>
      <c r="CE35" s="235" t="str">
        <f t="shared" si="152"/>
        <v/>
      </c>
      <c r="CF35" s="235" t="str">
        <f t="shared" si="153"/>
        <v/>
      </c>
      <c r="CG35" s="235" t="str">
        <f t="shared" si="154"/>
        <v/>
      </c>
      <c r="CH35" s="235" t="str">
        <f t="shared" si="155"/>
        <v/>
      </c>
      <c r="CI35" s="235" t="str">
        <f t="shared" si="156"/>
        <v/>
      </c>
      <c r="CJ35" s="235" t="str">
        <f t="shared" si="157"/>
        <v/>
      </c>
      <c r="CK35" s="235" t="str">
        <f t="shared" si="158"/>
        <v/>
      </c>
      <c r="CL35" s="235" t="str">
        <f t="shared" si="159"/>
        <v/>
      </c>
      <c r="CM35" s="235" t="str">
        <f t="shared" si="160"/>
        <v/>
      </c>
      <c r="CN35" s="235" t="str">
        <f t="shared" si="161"/>
        <v/>
      </c>
      <c r="CO35" s="235" t="str">
        <f t="shared" si="162"/>
        <v/>
      </c>
      <c r="CP35" s="235" t="str">
        <f t="shared" si="163"/>
        <v/>
      </c>
      <c r="CQ35" s="2">
        <v>6</v>
      </c>
      <c r="CR35" s="207" t="str">
        <f t="shared" si="164"/>
        <v/>
      </c>
      <c r="CS35" s="227" t="str">
        <f t="shared" si="165"/>
        <v/>
      </c>
      <c r="CT35" s="209" t="str">
        <f t="shared" si="188"/>
        <v/>
      </c>
      <c r="CU35" s="227" t="str">
        <f t="shared" si="17"/>
        <v/>
      </c>
      <c r="CV35" s="43">
        <f t="shared" si="189"/>
        <v>0</v>
      </c>
      <c r="CW35" s="209" t="str">
        <f t="shared" si="190"/>
        <v/>
      </c>
      <c r="CX35" s="204" t="str">
        <f t="shared" si="191"/>
        <v/>
      </c>
      <c r="CY35" s="43">
        <f t="shared" si="166"/>
        <v>0</v>
      </c>
      <c r="CZ35" s="44">
        <f t="shared" ref="CZ35:CZ49" si="193">F35</f>
        <v>0</v>
      </c>
      <c r="DA35" s="45">
        <f t="shared" si="167"/>
        <v>0</v>
      </c>
      <c r="DB35" s="46">
        <f t="shared" si="18"/>
        <v>0</v>
      </c>
      <c r="DC35" s="47" t="str">
        <f t="shared" si="168"/>
        <v/>
      </c>
      <c r="DD35" s="52">
        <f t="shared" si="19"/>
        <v>0</v>
      </c>
      <c r="DE35" s="52">
        <f t="shared" si="20"/>
        <v>0</v>
      </c>
      <c r="DF35" s="52">
        <f t="shared" si="21"/>
        <v>0</v>
      </c>
      <c r="DG35" s="215">
        <f>IF(DC35="",0,MAX(DD35:DE35:DF35))</f>
        <v>0</v>
      </c>
      <c r="DH35" s="115" t="str">
        <f t="shared" si="22"/>
        <v/>
      </c>
      <c r="DI35" s="51" t="str">
        <f t="shared" si="23"/>
        <v/>
      </c>
      <c r="DJ35" s="51" t="str">
        <f t="shared" si="24"/>
        <v/>
      </c>
      <c r="DK35" s="49" t="str">
        <f t="shared" si="169"/>
        <v/>
      </c>
      <c r="DL35" s="52">
        <f t="shared" si="25"/>
        <v>0</v>
      </c>
      <c r="DM35" s="52">
        <f t="shared" si="26"/>
        <v>0</v>
      </c>
      <c r="DN35" s="52">
        <f t="shared" si="27"/>
        <v>0</v>
      </c>
      <c r="DO35" s="215">
        <f>IF(DK35="",0,MAX(DL35:DM35:DN35))</f>
        <v>0</v>
      </c>
      <c r="DP35" s="115" t="str">
        <f t="shared" si="28"/>
        <v/>
      </c>
      <c r="DQ35" s="51" t="str">
        <f t="shared" si="29"/>
        <v/>
      </c>
      <c r="DR35" s="51" t="str">
        <f t="shared" si="30"/>
        <v/>
      </c>
      <c r="DS35" s="49" t="str">
        <f t="shared" si="170"/>
        <v/>
      </c>
      <c r="DT35" s="52">
        <f t="shared" si="31"/>
        <v>0</v>
      </c>
      <c r="DU35" s="52">
        <f t="shared" si="32"/>
        <v>0</v>
      </c>
      <c r="DV35" s="52">
        <f t="shared" si="33"/>
        <v>0</v>
      </c>
      <c r="DW35" s="215">
        <f>IF(DS35="",0,MAX(DT35:DU35:DV35))</f>
        <v>0</v>
      </c>
      <c r="DX35" s="115" t="str">
        <f t="shared" si="34"/>
        <v/>
      </c>
      <c r="DY35" s="51" t="str">
        <f t="shared" si="35"/>
        <v/>
      </c>
      <c r="DZ35" s="51" t="str">
        <f t="shared" si="36"/>
        <v/>
      </c>
      <c r="EA35" s="49" t="str">
        <f t="shared" si="171"/>
        <v/>
      </c>
      <c r="EB35" s="52">
        <f t="shared" si="37"/>
        <v>0</v>
      </c>
      <c r="EC35" s="52">
        <f t="shared" si="38"/>
        <v>0</v>
      </c>
      <c r="ED35" s="52">
        <f t="shared" si="39"/>
        <v>0</v>
      </c>
      <c r="EE35" s="215">
        <f>IF(EA35="",0,MAX(EB35:EC35:ED35))</f>
        <v>0</v>
      </c>
      <c r="EF35" s="115" t="str">
        <f t="shared" si="40"/>
        <v/>
      </c>
      <c r="EG35" s="51" t="str">
        <f t="shared" si="41"/>
        <v/>
      </c>
      <c r="EH35" s="51" t="str">
        <f t="shared" si="42"/>
        <v/>
      </c>
      <c r="EI35" s="49" t="str">
        <f t="shared" si="172"/>
        <v/>
      </c>
      <c r="EJ35" s="52">
        <f t="shared" si="43"/>
        <v>0</v>
      </c>
      <c r="EK35" s="52">
        <f t="shared" si="44"/>
        <v>0</v>
      </c>
      <c r="EL35" s="52">
        <f t="shared" si="45"/>
        <v>0</v>
      </c>
      <c r="EM35" s="215">
        <f>IF(EI35="",0,MAX(EJ35:EK35:EL35))</f>
        <v>0</v>
      </c>
      <c r="EN35" s="115" t="str">
        <f t="shared" si="46"/>
        <v/>
      </c>
      <c r="EO35" s="51" t="str">
        <f t="shared" si="47"/>
        <v/>
      </c>
      <c r="EP35" s="51" t="str">
        <f t="shared" si="48"/>
        <v/>
      </c>
      <c r="EQ35" s="49" t="str">
        <f t="shared" si="173"/>
        <v/>
      </c>
      <c r="ER35" s="52">
        <f t="shared" si="49"/>
        <v>0</v>
      </c>
      <c r="ES35" s="52">
        <f t="shared" si="50"/>
        <v>0</v>
      </c>
      <c r="ET35" s="52">
        <f t="shared" si="51"/>
        <v>0</v>
      </c>
      <c r="EU35" s="215">
        <f>IF(EQ35="",0,MAX(ER35:ES35:ET35))</f>
        <v>0</v>
      </c>
      <c r="EV35" s="115" t="str">
        <f t="shared" si="52"/>
        <v/>
      </c>
      <c r="EW35" s="51" t="str">
        <f t="shared" si="53"/>
        <v/>
      </c>
      <c r="EX35" s="51" t="str">
        <f t="shared" si="54"/>
        <v/>
      </c>
      <c r="EY35" s="49" t="str">
        <f t="shared" si="174"/>
        <v/>
      </c>
      <c r="EZ35" s="52">
        <f t="shared" si="55"/>
        <v>0</v>
      </c>
      <c r="FA35" s="52">
        <f t="shared" si="56"/>
        <v>0</v>
      </c>
      <c r="FB35" s="52">
        <f t="shared" si="57"/>
        <v>0</v>
      </c>
      <c r="FC35" s="215">
        <f>IF(EY35="",0,MAX(EZ35:FA35:FB35))</f>
        <v>0</v>
      </c>
      <c r="FD35" s="115" t="str">
        <f t="shared" si="58"/>
        <v/>
      </c>
      <c r="FE35" s="51" t="str">
        <f t="shared" si="59"/>
        <v/>
      </c>
      <c r="FF35" s="51" t="str">
        <f t="shared" si="60"/>
        <v/>
      </c>
      <c r="FG35" s="49" t="str">
        <f t="shared" si="175"/>
        <v/>
      </c>
      <c r="FH35" s="52">
        <f t="shared" si="61"/>
        <v>0</v>
      </c>
      <c r="FI35" s="52">
        <f t="shared" si="62"/>
        <v>0</v>
      </c>
      <c r="FJ35" s="52">
        <f t="shared" si="63"/>
        <v>0</v>
      </c>
      <c r="FK35" s="215">
        <f>IF(FG35="",0,MAX(FH35:FI35:FJ35))</f>
        <v>0</v>
      </c>
      <c r="FL35" s="115" t="str">
        <f t="shared" si="64"/>
        <v/>
      </c>
      <c r="FM35" s="51" t="str">
        <f t="shared" si="65"/>
        <v/>
      </c>
      <c r="FN35" s="51" t="str">
        <f t="shared" si="66"/>
        <v/>
      </c>
      <c r="FO35" s="49" t="str">
        <f t="shared" si="176"/>
        <v/>
      </c>
      <c r="FP35" s="52">
        <f t="shared" si="67"/>
        <v>0</v>
      </c>
      <c r="FQ35" s="52">
        <f t="shared" si="68"/>
        <v>0</v>
      </c>
      <c r="FR35" s="52">
        <f t="shared" si="69"/>
        <v>0</v>
      </c>
      <c r="FS35" s="215">
        <f>IF(FO35="",0,MAX(FP35:FQ35:FR35))</f>
        <v>0</v>
      </c>
      <c r="FT35" s="115" t="str">
        <f t="shared" si="70"/>
        <v/>
      </c>
      <c r="FU35" s="51" t="str">
        <f t="shared" si="71"/>
        <v/>
      </c>
      <c r="FV35" s="51" t="str">
        <f t="shared" si="72"/>
        <v/>
      </c>
      <c r="FW35" s="49" t="str">
        <f t="shared" si="177"/>
        <v/>
      </c>
      <c r="FX35" s="52">
        <f t="shared" si="73"/>
        <v>0</v>
      </c>
      <c r="FY35" s="52">
        <f t="shared" si="74"/>
        <v>0</v>
      </c>
      <c r="FZ35" s="52">
        <f t="shared" si="75"/>
        <v>0</v>
      </c>
      <c r="GA35" s="215">
        <f>IF(FW35="",0,MAX(FX35:FY35:FZ35))</f>
        <v>0</v>
      </c>
      <c r="GB35" s="115" t="str">
        <f t="shared" si="76"/>
        <v/>
      </c>
      <c r="GC35" s="51" t="str">
        <f t="shared" si="77"/>
        <v/>
      </c>
      <c r="GD35" s="51" t="str">
        <f t="shared" si="78"/>
        <v/>
      </c>
      <c r="GE35" s="49" t="str">
        <f t="shared" si="178"/>
        <v/>
      </c>
      <c r="GF35" s="52">
        <f t="shared" si="79"/>
        <v>0</v>
      </c>
      <c r="GG35" s="52">
        <f t="shared" si="80"/>
        <v>0</v>
      </c>
      <c r="GH35" s="52">
        <f t="shared" si="81"/>
        <v>0</v>
      </c>
      <c r="GI35" s="215">
        <f>IF(GE35="",0,MAX(GF35:GG35:GH35))</f>
        <v>0</v>
      </c>
      <c r="GJ35" s="115" t="str">
        <f t="shared" si="82"/>
        <v/>
      </c>
      <c r="GK35" s="51" t="str">
        <f t="shared" si="83"/>
        <v/>
      </c>
      <c r="GL35" s="51" t="str">
        <f t="shared" si="84"/>
        <v/>
      </c>
      <c r="GM35" s="49" t="str">
        <f t="shared" si="179"/>
        <v/>
      </c>
      <c r="GN35" s="52">
        <f t="shared" si="85"/>
        <v>0</v>
      </c>
      <c r="GO35" s="52">
        <f t="shared" si="86"/>
        <v>0</v>
      </c>
      <c r="GP35" s="52">
        <f t="shared" si="87"/>
        <v>0</v>
      </c>
      <c r="GQ35" s="215">
        <f>IF(GM35="",0,MAX(GN35:GO35:GP35))</f>
        <v>0</v>
      </c>
      <c r="GR35" s="115" t="str">
        <f t="shared" si="88"/>
        <v/>
      </c>
      <c r="GS35" s="51" t="str">
        <f t="shared" si="89"/>
        <v/>
      </c>
      <c r="GT35" s="51" t="str">
        <f t="shared" si="90"/>
        <v/>
      </c>
      <c r="GU35" s="49" t="str">
        <f t="shared" si="180"/>
        <v/>
      </c>
      <c r="GV35" s="52">
        <f t="shared" si="91"/>
        <v>0</v>
      </c>
      <c r="GW35" s="52">
        <f t="shared" si="92"/>
        <v>0</v>
      </c>
      <c r="GX35" s="52">
        <f t="shared" si="93"/>
        <v>0</v>
      </c>
      <c r="GY35" s="215">
        <f>IF(GU35="",0,MAX(GV35:GW35:GX35))</f>
        <v>0</v>
      </c>
      <c r="GZ35" s="115" t="str">
        <f t="shared" si="94"/>
        <v/>
      </c>
      <c r="HA35" s="51" t="str">
        <f t="shared" si="95"/>
        <v/>
      </c>
      <c r="HB35" s="51" t="str">
        <f t="shared" si="96"/>
        <v/>
      </c>
      <c r="HC35" s="49" t="str">
        <f t="shared" si="181"/>
        <v/>
      </c>
      <c r="HD35" s="52">
        <f t="shared" si="97"/>
        <v>0</v>
      </c>
      <c r="HE35" s="52">
        <f t="shared" si="98"/>
        <v>0</v>
      </c>
      <c r="HF35" s="52">
        <f t="shared" si="99"/>
        <v>0</v>
      </c>
      <c r="HG35" s="215">
        <f>IF(HC35="",0,MAX(HD35:HE35:HF35))</f>
        <v>0</v>
      </c>
      <c r="HH35" s="115" t="str">
        <f t="shared" si="100"/>
        <v/>
      </c>
      <c r="HI35" s="51" t="str">
        <f t="shared" si="101"/>
        <v/>
      </c>
      <c r="HJ35" s="51" t="str">
        <f t="shared" si="102"/>
        <v/>
      </c>
      <c r="HK35" s="49" t="str">
        <f t="shared" si="182"/>
        <v/>
      </c>
      <c r="HL35" s="52">
        <f t="shared" si="103"/>
        <v>0</v>
      </c>
      <c r="HM35" s="52">
        <f t="shared" si="104"/>
        <v>0</v>
      </c>
      <c r="HN35" s="52">
        <f t="shared" si="105"/>
        <v>0</v>
      </c>
      <c r="HO35" s="215">
        <f>IF(HK35="",0,MAX(HL35:HM35:HN35))</f>
        <v>0</v>
      </c>
      <c r="HP35" s="115" t="str">
        <f t="shared" si="106"/>
        <v/>
      </c>
      <c r="HQ35" s="51" t="str">
        <f t="shared" si="107"/>
        <v/>
      </c>
      <c r="HR35" s="51" t="str">
        <f t="shared" si="108"/>
        <v/>
      </c>
      <c r="HS35" s="49" t="str">
        <f t="shared" si="183"/>
        <v/>
      </c>
      <c r="HT35" s="52">
        <f t="shared" si="109"/>
        <v>0</v>
      </c>
      <c r="HU35" s="52">
        <f t="shared" si="110"/>
        <v>0</v>
      </c>
      <c r="HV35" s="52">
        <f t="shared" si="111"/>
        <v>0</v>
      </c>
      <c r="HW35" s="215">
        <f>IF(HS35="",0,MAX(HT35:HU35:HV35))</f>
        <v>0</v>
      </c>
      <c r="HX35" s="115" t="str">
        <f t="shared" si="112"/>
        <v/>
      </c>
      <c r="HY35" s="51" t="str">
        <f t="shared" si="113"/>
        <v/>
      </c>
      <c r="HZ35" s="51" t="str">
        <f t="shared" si="114"/>
        <v/>
      </c>
      <c r="IA35" s="49" t="str">
        <f t="shared" si="184"/>
        <v/>
      </c>
      <c r="IB35" s="52">
        <f t="shared" si="115"/>
        <v>0</v>
      </c>
      <c r="IC35" s="52">
        <f t="shared" si="116"/>
        <v>0</v>
      </c>
      <c r="ID35" s="52">
        <f t="shared" si="117"/>
        <v>0</v>
      </c>
      <c r="IE35" s="215">
        <f>IF(IA35="",0,MAX(IB35:IC35:ID35))</f>
        <v>0</v>
      </c>
      <c r="IF35" s="115" t="str">
        <f t="shared" si="118"/>
        <v/>
      </c>
      <c r="IG35" s="51" t="str">
        <f t="shared" si="119"/>
        <v/>
      </c>
      <c r="IH35" s="51" t="str">
        <f t="shared" si="120"/>
        <v/>
      </c>
      <c r="II35" s="49" t="str">
        <f t="shared" si="185"/>
        <v/>
      </c>
      <c r="IJ35" s="52">
        <f t="shared" si="121"/>
        <v>0</v>
      </c>
      <c r="IK35" s="52">
        <f t="shared" si="122"/>
        <v>0</v>
      </c>
      <c r="IL35" s="52">
        <f t="shared" si="123"/>
        <v>0</v>
      </c>
      <c r="IM35" s="215">
        <f>IF(II35="",0,MAX(IJ35:IK35:IL35))</f>
        <v>0</v>
      </c>
      <c r="IN35" s="115" t="str">
        <f t="shared" si="124"/>
        <v/>
      </c>
      <c r="IO35" s="51" t="str">
        <f t="shared" si="125"/>
        <v/>
      </c>
      <c r="IP35" s="51" t="str">
        <f t="shared" si="126"/>
        <v/>
      </c>
      <c r="IQ35" s="49" t="str">
        <f t="shared" si="186"/>
        <v/>
      </c>
      <c r="IR35" s="52">
        <f t="shared" si="127"/>
        <v>0</v>
      </c>
      <c r="IS35" s="52">
        <f t="shared" si="128"/>
        <v>0</v>
      </c>
      <c r="IT35" s="52">
        <f t="shared" si="129"/>
        <v>0</v>
      </c>
      <c r="IU35" s="215">
        <f>IF(IQ35="",0,MAX(IR35:IS35:IT35))</f>
        <v>0</v>
      </c>
    </row>
    <row r="36" spans="1:256" s="16" customFormat="1" ht="18" customHeight="1" thickTop="1" thickBot="1" x14ac:dyDescent="0.35">
      <c r="A36" s="902" t="str">
        <f t="shared" si="130"/>
        <v/>
      </c>
      <c r="B36" s="903"/>
      <c r="C36" s="708"/>
      <c r="D36" s="709" t="str">
        <f t="shared" si="131"/>
        <v/>
      </c>
      <c r="E36" s="843" t="str">
        <f>IF(D36="","",SUM(D$30:D36))</f>
        <v/>
      </c>
      <c r="F36" s="951"/>
      <c r="G36" s="952"/>
      <c r="H36" s="953"/>
      <c r="I36" s="954"/>
      <c r="J36" s="955"/>
      <c r="K36" s="956"/>
      <c r="L36" s="925"/>
      <c r="M36" s="927" t="str">
        <f t="shared" si="132"/>
        <v/>
      </c>
      <c r="N36" s="934" t="str">
        <f>IF(AND(H36="",I36=""),"",IF($D$19="x",1,IF($K$16="",LOOKUP((H36+I36),'Quadro 2 Ordenado'!$B$6:'Quadro 2 Ordenado'!$B$107,'Quadro 2 Ordenado'!$C$6:'Quadro 2 Ordenado'!$C$107),LOOKUP((H36+I36),'Quadro 2 Ordenado'!$B$6:'Quadro 2 Ordenado'!$B$107,'Quadro 2 Ordenado'!$D$6:'Quadro 2 Ordenado'!$D$107))))</f>
        <v/>
      </c>
      <c r="O36" s="50"/>
      <c r="P36" s="928" t="str">
        <f t="shared" si="133"/>
        <v/>
      </c>
      <c r="S36" s="935" t="str">
        <f t="shared" si="5"/>
        <v/>
      </c>
      <c r="T36" s="111" t="str">
        <f t="shared" si="6"/>
        <v/>
      </c>
      <c r="U36" s="926"/>
      <c r="V36" s="610" t="str">
        <f t="shared" si="192"/>
        <v/>
      </c>
      <c r="W36" s="936" t="str">
        <f>IF(OR(T36="",T36=0),"",IF($V36&gt;'Quadro 3'!$F$23,'Quadro 3'!$F$23,IF($V36&lt;'Quadro 3'!$F$10,'Quadro 3'!$F$10,MIN($X36,$Y36))))</f>
        <v/>
      </c>
      <c r="X36" s="937" t="str">
        <f>IF($V36&lt;='Quadro 3'!$F$10,'Quadro 3'!$F$10,IF($V36&lt;='Quadro 3'!$F$11,'Quadro 3'!$F$11,IF($V36&lt;='Quadro 3'!$F$12,'Quadro 3'!$F$12,IF($V36&lt;='Quadro 3'!$F$13,'Quadro 3'!$F$13,IF($V36&lt;='Quadro 3'!$F$14,'Quadro 3'!$F$14,IF($V36&lt;='Quadro 3'!$F$15,'Quadro 3'!$F$15,IF($V36&lt;='Quadro 3'!$F$16,'Quadro 3'!$F$16,"")))))))</f>
        <v/>
      </c>
      <c r="Y36" s="938" t="str">
        <f>IF(OR(T36="",T36=0),"",IF($V36&lt;='Quadro 3'!$F$17,'Quadro 3'!$F$17,IF($V36&lt;='Quadro 3'!$F$18,'Quadro 3'!$F$18,IF($V36&lt;='Quadro 3'!$F$19,'Quadro 3'!$F$19,IF($V36&lt;='Quadro 3'!$F$20,'Quadro 3'!$F$20,IF($V36&lt;='Quadro 3'!$F$21,'Quadro 3'!$F$21,IF($V36&lt;='Quadro 3'!$F$22,'Quadro 3'!$F$22,IF($V36&lt;='Quadro 3'!$F$23,'Quadro 3'!$F$23,'Quadro 3'!$F$23))))))))</f>
        <v/>
      </c>
      <c r="Z36" s="936" t="str">
        <f>IF($W36="","",LOOKUP($W36,'Quadro 3'!$F$9:$F$23,'Quadro 3'!$G$9:$G$23))</f>
        <v/>
      </c>
      <c r="AA36" s="1129" t="str">
        <f>IF($W36="","",LOOKUP($W36,'Quadro 3'!$F$9:$F$23,'Quadro 3'!$D$9:$D$23))</f>
        <v/>
      </c>
      <c r="AB36" s="939" t="str">
        <f>IF($W36="","",LOOKUP($W36,'Quadro 3'!$F$9:$F$23,'Quadro 3'!$E$9:$E$23))</f>
        <v/>
      </c>
      <c r="AC36" s="929" t="str">
        <f t="shared" si="7"/>
        <v/>
      </c>
      <c r="AD36" s="1151" t="str">
        <f t="shared" si="134"/>
        <v/>
      </c>
      <c r="AE36" s="1152"/>
      <c r="AF36" s="1121" t="str">
        <f t="shared" si="8"/>
        <v/>
      </c>
      <c r="AG36" s="1123" t="str">
        <f t="shared" si="135"/>
        <v/>
      </c>
      <c r="AH36" s="931" t="str">
        <f t="shared" si="9"/>
        <v/>
      </c>
      <c r="AI36" s="932" t="str">
        <f t="shared" si="10"/>
        <v/>
      </c>
      <c r="AJ36" s="1153" t="str">
        <f t="shared" si="11"/>
        <v/>
      </c>
      <c r="AK36" s="1154"/>
      <c r="AL36" s="933" t="str">
        <f t="shared" si="136"/>
        <v/>
      </c>
      <c r="AM36" s="1138" t="str">
        <f t="shared" si="12"/>
        <v/>
      </c>
      <c r="AN36" s="1139"/>
      <c r="AO36" s="1140"/>
      <c r="AQ36" s="1126"/>
      <c r="AU36" s="1116">
        <f t="shared" si="187"/>
        <v>0</v>
      </c>
      <c r="AV36" s="350" t="str">
        <f t="shared" si="137"/>
        <v/>
      </c>
      <c r="AW36" s="241">
        <f t="shared" si="13"/>
        <v>0</v>
      </c>
      <c r="AX36" s="241" t="str">
        <f t="shared" si="14"/>
        <v/>
      </c>
      <c r="AY36" s="241" t="str">
        <f t="shared" si="15"/>
        <v/>
      </c>
      <c r="AZ36" s="241" t="str">
        <f t="shared" si="16"/>
        <v/>
      </c>
      <c r="BA36" s="2"/>
      <c r="BB36" s="2"/>
      <c r="BC36" s="2"/>
      <c r="BD36" s="2"/>
      <c r="BE36" s="2"/>
      <c r="BF36" s="2"/>
      <c r="BG36" s="2"/>
      <c r="BH36" s="2"/>
      <c r="BI36" s="350" t="str">
        <f t="shared" si="138"/>
        <v>0</v>
      </c>
      <c r="BJ36" s="350">
        <f t="shared" si="139"/>
        <v>0</v>
      </c>
      <c r="BK36" s="911" t="str">
        <f t="shared" si="140"/>
        <v>NA</v>
      </c>
      <c r="BL36" s="911" t="str">
        <f t="shared" si="141"/>
        <v/>
      </c>
      <c r="BM36" s="911" t="str">
        <f t="shared" si="142"/>
        <v/>
      </c>
      <c r="BN36" s="2"/>
      <c r="BO36" s="2"/>
      <c r="BP36" s="2"/>
      <c r="BQ36" s="2"/>
      <c r="BR36" s="2"/>
      <c r="BS36" s="2"/>
      <c r="BT36" s="2"/>
      <c r="BU36" s="2"/>
      <c r="BV36" s="350" t="str">
        <f t="shared" si="143"/>
        <v/>
      </c>
      <c r="BW36" s="235" t="str">
        <f t="shared" si="144"/>
        <v/>
      </c>
      <c r="BX36" s="235" t="str">
        <f t="shared" si="145"/>
        <v/>
      </c>
      <c r="BY36" s="235" t="str">
        <f t="shared" si="146"/>
        <v/>
      </c>
      <c r="BZ36" s="235" t="str">
        <f t="shared" si="147"/>
        <v/>
      </c>
      <c r="CA36" s="235" t="str">
        <f t="shared" si="148"/>
        <v/>
      </c>
      <c r="CB36" s="235" t="str">
        <f t="shared" si="149"/>
        <v/>
      </c>
      <c r="CC36" s="235" t="str">
        <f t="shared" si="150"/>
        <v/>
      </c>
      <c r="CD36" s="235" t="str">
        <f t="shared" si="151"/>
        <v/>
      </c>
      <c r="CE36" s="235" t="str">
        <f t="shared" si="152"/>
        <v/>
      </c>
      <c r="CF36" s="235" t="str">
        <f t="shared" si="153"/>
        <v/>
      </c>
      <c r="CG36" s="235" t="str">
        <f t="shared" si="154"/>
        <v/>
      </c>
      <c r="CH36" s="235" t="str">
        <f t="shared" si="155"/>
        <v/>
      </c>
      <c r="CI36" s="235" t="str">
        <f t="shared" si="156"/>
        <v/>
      </c>
      <c r="CJ36" s="235" t="str">
        <f t="shared" si="157"/>
        <v/>
      </c>
      <c r="CK36" s="235" t="str">
        <f t="shared" si="158"/>
        <v/>
      </c>
      <c r="CL36" s="235" t="str">
        <f t="shared" si="159"/>
        <v/>
      </c>
      <c r="CM36" s="235" t="str">
        <f t="shared" si="160"/>
        <v/>
      </c>
      <c r="CN36" s="235" t="str">
        <f t="shared" si="161"/>
        <v/>
      </c>
      <c r="CO36" s="235" t="str">
        <f t="shared" si="162"/>
        <v/>
      </c>
      <c r="CP36" s="235" t="str">
        <f t="shared" si="163"/>
        <v/>
      </c>
      <c r="CQ36" s="2">
        <v>7</v>
      </c>
      <c r="CR36" s="207" t="str">
        <f t="shared" si="164"/>
        <v/>
      </c>
      <c r="CS36" s="227" t="str">
        <f t="shared" si="165"/>
        <v/>
      </c>
      <c r="CT36" s="209" t="str">
        <f t="shared" si="188"/>
        <v/>
      </c>
      <c r="CU36" s="227" t="str">
        <f t="shared" si="17"/>
        <v/>
      </c>
      <c r="CV36" s="43">
        <f t="shared" si="189"/>
        <v>0</v>
      </c>
      <c r="CW36" s="209" t="str">
        <f t="shared" si="190"/>
        <v/>
      </c>
      <c r="CX36" s="204" t="str">
        <f t="shared" si="191"/>
        <v/>
      </c>
      <c r="CY36" s="43">
        <f t="shared" si="166"/>
        <v>0</v>
      </c>
      <c r="CZ36" s="44">
        <f t="shared" si="193"/>
        <v>0</v>
      </c>
      <c r="DA36" s="45">
        <f t="shared" si="167"/>
        <v>0</v>
      </c>
      <c r="DB36" s="46">
        <f t="shared" si="18"/>
        <v>0</v>
      </c>
      <c r="DC36" s="47" t="str">
        <f t="shared" si="168"/>
        <v/>
      </c>
      <c r="DD36" s="52">
        <f t="shared" si="19"/>
        <v>0</v>
      </c>
      <c r="DE36" s="52">
        <f t="shared" si="20"/>
        <v>0</v>
      </c>
      <c r="DF36" s="52">
        <f t="shared" si="21"/>
        <v>0</v>
      </c>
      <c r="DG36" s="215">
        <f>IF(DC36="",0,MAX(DD36:DE36:DF36))</f>
        <v>0</v>
      </c>
      <c r="DH36" s="115" t="str">
        <f t="shared" si="22"/>
        <v/>
      </c>
      <c r="DI36" s="51" t="str">
        <f t="shared" si="23"/>
        <v/>
      </c>
      <c r="DJ36" s="51" t="str">
        <f t="shared" si="24"/>
        <v/>
      </c>
      <c r="DK36" s="49" t="str">
        <f t="shared" si="169"/>
        <v/>
      </c>
      <c r="DL36" s="52">
        <f t="shared" si="25"/>
        <v>0</v>
      </c>
      <c r="DM36" s="52">
        <f t="shared" si="26"/>
        <v>0</v>
      </c>
      <c r="DN36" s="52">
        <f t="shared" si="27"/>
        <v>0</v>
      </c>
      <c r="DO36" s="215">
        <f>IF(DK36="",0,MAX(DL36:DM36:DN36))</f>
        <v>0</v>
      </c>
      <c r="DP36" s="115" t="str">
        <f t="shared" si="28"/>
        <v/>
      </c>
      <c r="DQ36" s="51" t="str">
        <f t="shared" si="29"/>
        <v/>
      </c>
      <c r="DR36" s="51" t="str">
        <f t="shared" si="30"/>
        <v/>
      </c>
      <c r="DS36" s="49" t="str">
        <f t="shared" si="170"/>
        <v/>
      </c>
      <c r="DT36" s="52">
        <f t="shared" si="31"/>
        <v>0</v>
      </c>
      <c r="DU36" s="52">
        <f t="shared" si="32"/>
        <v>0</v>
      </c>
      <c r="DV36" s="52">
        <f t="shared" si="33"/>
        <v>0</v>
      </c>
      <c r="DW36" s="215">
        <f>IF(DS36="",0,MAX(DT36:DU36:DV36))</f>
        <v>0</v>
      </c>
      <c r="DX36" s="115" t="str">
        <f t="shared" si="34"/>
        <v/>
      </c>
      <c r="DY36" s="51" t="str">
        <f t="shared" si="35"/>
        <v/>
      </c>
      <c r="DZ36" s="51" t="str">
        <f t="shared" si="36"/>
        <v/>
      </c>
      <c r="EA36" s="49" t="str">
        <f t="shared" si="171"/>
        <v/>
      </c>
      <c r="EB36" s="52">
        <f t="shared" si="37"/>
        <v>0</v>
      </c>
      <c r="EC36" s="52">
        <f t="shared" si="38"/>
        <v>0</v>
      </c>
      <c r="ED36" s="52">
        <f t="shared" si="39"/>
        <v>0</v>
      </c>
      <c r="EE36" s="215">
        <f>IF(EA36="",0,MAX(EB36:EC36:ED36))</f>
        <v>0</v>
      </c>
      <c r="EF36" s="115" t="str">
        <f t="shared" si="40"/>
        <v/>
      </c>
      <c r="EG36" s="51" t="str">
        <f t="shared" si="41"/>
        <v/>
      </c>
      <c r="EH36" s="51" t="str">
        <f t="shared" si="42"/>
        <v/>
      </c>
      <c r="EI36" s="49" t="str">
        <f t="shared" si="172"/>
        <v/>
      </c>
      <c r="EJ36" s="52">
        <f t="shared" si="43"/>
        <v>0</v>
      </c>
      <c r="EK36" s="52">
        <f t="shared" si="44"/>
        <v>0</v>
      </c>
      <c r="EL36" s="52">
        <f t="shared" si="45"/>
        <v>0</v>
      </c>
      <c r="EM36" s="215">
        <f>IF(EI36="",0,MAX(EJ36:EK36:EL36))</f>
        <v>0</v>
      </c>
      <c r="EN36" s="115" t="str">
        <f t="shared" si="46"/>
        <v/>
      </c>
      <c r="EO36" s="51" t="str">
        <f t="shared" si="47"/>
        <v/>
      </c>
      <c r="EP36" s="51" t="str">
        <f t="shared" si="48"/>
        <v/>
      </c>
      <c r="EQ36" s="49" t="str">
        <f t="shared" si="173"/>
        <v/>
      </c>
      <c r="ER36" s="52">
        <f t="shared" si="49"/>
        <v>0</v>
      </c>
      <c r="ES36" s="52">
        <f t="shared" si="50"/>
        <v>0</v>
      </c>
      <c r="ET36" s="52">
        <f t="shared" si="51"/>
        <v>0</v>
      </c>
      <c r="EU36" s="215">
        <f>IF(EQ36="",0,MAX(ER36:ES36:ET36))</f>
        <v>0</v>
      </c>
      <c r="EV36" s="115" t="str">
        <f t="shared" si="52"/>
        <v/>
      </c>
      <c r="EW36" s="51" t="str">
        <f t="shared" si="53"/>
        <v/>
      </c>
      <c r="EX36" s="51" t="str">
        <f t="shared" si="54"/>
        <v/>
      </c>
      <c r="EY36" s="49" t="str">
        <f t="shared" si="174"/>
        <v/>
      </c>
      <c r="EZ36" s="52">
        <f t="shared" si="55"/>
        <v>0</v>
      </c>
      <c r="FA36" s="52">
        <f t="shared" si="56"/>
        <v>0</v>
      </c>
      <c r="FB36" s="52">
        <f t="shared" si="57"/>
        <v>0</v>
      </c>
      <c r="FC36" s="215">
        <f>IF(EY36="",0,MAX(EZ36:FA36:FB36))</f>
        <v>0</v>
      </c>
      <c r="FD36" s="115" t="str">
        <f t="shared" si="58"/>
        <v/>
      </c>
      <c r="FE36" s="51" t="str">
        <f t="shared" si="59"/>
        <v/>
      </c>
      <c r="FF36" s="51" t="str">
        <f t="shared" si="60"/>
        <v/>
      </c>
      <c r="FG36" s="49" t="str">
        <f t="shared" si="175"/>
        <v/>
      </c>
      <c r="FH36" s="52">
        <f t="shared" si="61"/>
        <v>0</v>
      </c>
      <c r="FI36" s="52">
        <f t="shared" si="62"/>
        <v>0</v>
      </c>
      <c r="FJ36" s="52">
        <f t="shared" si="63"/>
        <v>0</v>
      </c>
      <c r="FK36" s="215">
        <f>IF(FG36="",0,MAX(FH36:FI36:FJ36))</f>
        <v>0</v>
      </c>
      <c r="FL36" s="115" t="str">
        <f t="shared" si="64"/>
        <v/>
      </c>
      <c r="FM36" s="51" t="str">
        <f t="shared" si="65"/>
        <v/>
      </c>
      <c r="FN36" s="51" t="str">
        <f t="shared" si="66"/>
        <v/>
      </c>
      <c r="FO36" s="49" t="str">
        <f t="shared" si="176"/>
        <v/>
      </c>
      <c r="FP36" s="52">
        <f t="shared" si="67"/>
        <v>0</v>
      </c>
      <c r="FQ36" s="52">
        <f t="shared" si="68"/>
        <v>0</v>
      </c>
      <c r="FR36" s="52">
        <f t="shared" si="69"/>
        <v>0</v>
      </c>
      <c r="FS36" s="215">
        <f>IF(FO36="",0,MAX(FP36:FQ36:FR36))</f>
        <v>0</v>
      </c>
      <c r="FT36" s="115" t="str">
        <f t="shared" si="70"/>
        <v/>
      </c>
      <c r="FU36" s="51" t="str">
        <f t="shared" si="71"/>
        <v/>
      </c>
      <c r="FV36" s="51" t="str">
        <f t="shared" si="72"/>
        <v/>
      </c>
      <c r="FW36" s="49" t="str">
        <f t="shared" si="177"/>
        <v/>
      </c>
      <c r="FX36" s="52">
        <f t="shared" si="73"/>
        <v>0</v>
      </c>
      <c r="FY36" s="52">
        <f t="shared" si="74"/>
        <v>0</v>
      </c>
      <c r="FZ36" s="52">
        <f t="shared" si="75"/>
        <v>0</v>
      </c>
      <c r="GA36" s="215">
        <f>IF(FW36="",0,MAX(FX36:FY36:FZ36))</f>
        <v>0</v>
      </c>
      <c r="GB36" s="115" t="str">
        <f t="shared" si="76"/>
        <v/>
      </c>
      <c r="GC36" s="51" t="str">
        <f t="shared" si="77"/>
        <v/>
      </c>
      <c r="GD36" s="51" t="str">
        <f t="shared" si="78"/>
        <v/>
      </c>
      <c r="GE36" s="49" t="str">
        <f t="shared" si="178"/>
        <v/>
      </c>
      <c r="GF36" s="52">
        <f t="shared" si="79"/>
        <v>0</v>
      </c>
      <c r="GG36" s="52">
        <f t="shared" si="80"/>
        <v>0</v>
      </c>
      <c r="GH36" s="52">
        <f t="shared" si="81"/>
        <v>0</v>
      </c>
      <c r="GI36" s="215">
        <f>IF(GE36="",0,MAX(GF36:GG36:GH36))</f>
        <v>0</v>
      </c>
      <c r="GJ36" s="115" t="str">
        <f t="shared" si="82"/>
        <v/>
      </c>
      <c r="GK36" s="51" t="str">
        <f t="shared" si="83"/>
        <v/>
      </c>
      <c r="GL36" s="51" t="str">
        <f t="shared" si="84"/>
        <v/>
      </c>
      <c r="GM36" s="49" t="str">
        <f t="shared" si="179"/>
        <v/>
      </c>
      <c r="GN36" s="52">
        <f t="shared" si="85"/>
        <v>0</v>
      </c>
      <c r="GO36" s="52">
        <f t="shared" si="86"/>
        <v>0</v>
      </c>
      <c r="GP36" s="52">
        <f t="shared" si="87"/>
        <v>0</v>
      </c>
      <c r="GQ36" s="215">
        <f>IF(GM36="",0,MAX(GN36:GO36:GP36))</f>
        <v>0</v>
      </c>
      <c r="GR36" s="115" t="str">
        <f t="shared" si="88"/>
        <v/>
      </c>
      <c r="GS36" s="51" t="str">
        <f t="shared" si="89"/>
        <v/>
      </c>
      <c r="GT36" s="51" t="str">
        <f t="shared" si="90"/>
        <v/>
      </c>
      <c r="GU36" s="49" t="str">
        <f t="shared" si="180"/>
        <v/>
      </c>
      <c r="GV36" s="52">
        <f t="shared" si="91"/>
        <v>0</v>
      </c>
      <c r="GW36" s="52">
        <f t="shared" si="92"/>
        <v>0</v>
      </c>
      <c r="GX36" s="52">
        <f t="shared" si="93"/>
        <v>0</v>
      </c>
      <c r="GY36" s="215">
        <f>IF(GU36="",0,MAX(GV36:GW36:GX36))</f>
        <v>0</v>
      </c>
      <c r="GZ36" s="115" t="str">
        <f t="shared" si="94"/>
        <v/>
      </c>
      <c r="HA36" s="51" t="str">
        <f t="shared" si="95"/>
        <v/>
      </c>
      <c r="HB36" s="51" t="str">
        <f t="shared" si="96"/>
        <v/>
      </c>
      <c r="HC36" s="49" t="str">
        <f t="shared" si="181"/>
        <v/>
      </c>
      <c r="HD36" s="52">
        <f t="shared" si="97"/>
        <v>0</v>
      </c>
      <c r="HE36" s="52">
        <f t="shared" si="98"/>
        <v>0</v>
      </c>
      <c r="HF36" s="52">
        <f t="shared" si="99"/>
        <v>0</v>
      </c>
      <c r="HG36" s="215">
        <f>IF(HC36="",0,MAX(HD36:HE36:HF36))</f>
        <v>0</v>
      </c>
      <c r="HH36" s="115" t="str">
        <f t="shared" si="100"/>
        <v/>
      </c>
      <c r="HI36" s="51" t="str">
        <f t="shared" si="101"/>
        <v/>
      </c>
      <c r="HJ36" s="51" t="str">
        <f t="shared" si="102"/>
        <v/>
      </c>
      <c r="HK36" s="49" t="str">
        <f t="shared" si="182"/>
        <v/>
      </c>
      <c r="HL36" s="52">
        <f t="shared" si="103"/>
        <v>0</v>
      </c>
      <c r="HM36" s="52">
        <f t="shared" si="104"/>
        <v>0</v>
      </c>
      <c r="HN36" s="52">
        <f t="shared" si="105"/>
        <v>0</v>
      </c>
      <c r="HO36" s="215">
        <f>IF(HK36="",0,MAX(HL36:HM36:HN36))</f>
        <v>0</v>
      </c>
      <c r="HP36" s="115" t="str">
        <f t="shared" si="106"/>
        <v/>
      </c>
      <c r="HQ36" s="51" t="str">
        <f t="shared" si="107"/>
        <v/>
      </c>
      <c r="HR36" s="51" t="str">
        <f t="shared" si="108"/>
        <v/>
      </c>
      <c r="HS36" s="49" t="str">
        <f t="shared" si="183"/>
        <v/>
      </c>
      <c r="HT36" s="52">
        <f t="shared" si="109"/>
        <v>0</v>
      </c>
      <c r="HU36" s="52">
        <f t="shared" si="110"/>
        <v>0</v>
      </c>
      <c r="HV36" s="52">
        <f t="shared" si="111"/>
        <v>0</v>
      </c>
      <c r="HW36" s="215">
        <f>IF(HS36="",0,MAX(HT36:HU36:HV36))</f>
        <v>0</v>
      </c>
      <c r="HX36" s="115" t="str">
        <f t="shared" si="112"/>
        <v/>
      </c>
      <c r="HY36" s="51" t="str">
        <f t="shared" si="113"/>
        <v/>
      </c>
      <c r="HZ36" s="51" t="str">
        <f t="shared" si="114"/>
        <v/>
      </c>
      <c r="IA36" s="49" t="str">
        <f t="shared" si="184"/>
        <v/>
      </c>
      <c r="IB36" s="52">
        <f t="shared" si="115"/>
        <v>0</v>
      </c>
      <c r="IC36" s="52">
        <f t="shared" si="116"/>
        <v>0</v>
      </c>
      <c r="ID36" s="52">
        <f t="shared" si="117"/>
        <v>0</v>
      </c>
      <c r="IE36" s="215">
        <f>IF(IA36="",0,MAX(IB36:IC36:ID36))</f>
        <v>0</v>
      </c>
      <c r="IF36" s="115" t="str">
        <f t="shared" si="118"/>
        <v/>
      </c>
      <c r="IG36" s="51" t="str">
        <f t="shared" si="119"/>
        <v/>
      </c>
      <c r="IH36" s="51" t="str">
        <f t="shared" si="120"/>
        <v/>
      </c>
      <c r="II36" s="49" t="str">
        <f t="shared" si="185"/>
        <v/>
      </c>
      <c r="IJ36" s="52">
        <f t="shared" si="121"/>
        <v>0</v>
      </c>
      <c r="IK36" s="52">
        <f t="shared" si="122"/>
        <v>0</v>
      </c>
      <c r="IL36" s="52">
        <f t="shared" si="123"/>
        <v>0</v>
      </c>
      <c r="IM36" s="215">
        <f>IF(II36="",0,MAX(IJ36:IK36:IL36))</f>
        <v>0</v>
      </c>
      <c r="IN36" s="115" t="str">
        <f t="shared" si="124"/>
        <v/>
      </c>
      <c r="IO36" s="51" t="str">
        <f t="shared" si="125"/>
        <v/>
      </c>
      <c r="IP36" s="51" t="str">
        <f t="shared" si="126"/>
        <v/>
      </c>
      <c r="IQ36" s="49" t="str">
        <f t="shared" si="186"/>
        <v/>
      </c>
      <c r="IR36" s="52">
        <f t="shared" si="127"/>
        <v>0</v>
      </c>
      <c r="IS36" s="52">
        <f t="shared" si="128"/>
        <v>0</v>
      </c>
      <c r="IT36" s="52">
        <f t="shared" si="129"/>
        <v>0</v>
      </c>
      <c r="IU36" s="215">
        <f>IF(IQ36="",0,MAX(IR36:IS36:IT36))</f>
        <v>0</v>
      </c>
    </row>
    <row r="37" spans="1:256" s="16" customFormat="1" ht="18" customHeight="1" thickTop="1" thickBot="1" x14ac:dyDescent="0.35">
      <c r="A37" s="902" t="str">
        <f t="shared" si="130"/>
        <v/>
      </c>
      <c r="B37" s="903"/>
      <c r="C37" s="708"/>
      <c r="D37" s="709" t="str">
        <f t="shared" si="131"/>
        <v/>
      </c>
      <c r="E37" s="843" t="str">
        <f>IF(D37="","",SUM(D$30:D37))</f>
        <v/>
      </c>
      <c r="F37" s="951"/>
      <c r="G37" s="952"/>
      <c r="H37" s="953"/>
      <c r="I37" s="954"/>
      <c r="J37" s="1127"/>
      <c r="K37" s="956"/>
      <c r="L37" s="925"/>
      <c r="M37" s="927" t="str">
        <f t="shared" si="132"/>
        <v/>
      </c>
      <c r="N37" s="934" t="str">
        <f>IF(AND(H37="",I37=""),"",IF($D$19="x",1,IF($K$16="",LOOKUP((H37+I37),'Quadro 2 Ordenado'!$B$6:'Quadro 2 Ordenado'!$B$107,'Quadro 2 Ordenado'!$C$6:'Quadro 2 Ordenado'!$C$107),LOOKUP((H37+I37),'Quadro 2 Ordenado'!$B$6:'Quadro 2 Ordenado'!$B$107,'Quadro 2 Ordenado'!$D$6:'Quadro 2 Ordenado'!$D$107))))</f>
        <v/>
      </c>
      <c r="O37" s="50"/>
      <c r="P37" s="928" t="str">
        <f t="shared" si="133"/>
        <v/>
      </c>
      <c r="S37" s="935" t="str">
        <f t="shared" si="5"/>
        <v/>
      </c>
      <c r="T37" s="111" t="str">
        <f t="shared" si="6"/>
        <v/>
      </c>
      <c r="U37" s="926"/>
      <c r="V37" s="610" t="str">
        <f t="shared" si="192"/>
        <v/>
      </c>
      <c r="W37" s="936" t="str">
        <f>IF(OR(T37="",T37=0),"",IF($V37&gt;'Quadro 3'!$F$23,'Quadro 3'!$F$23,IF($V37&lt;'Quadro 3'!$F$10,'Quadro 3'!$F$10,MIN($X37,$Y37))))</f>
        <v/>
      </c>
      <c r="X37" s="937" t="str">
        <f>IF($V37&lt;='Quadro 3'!$F$10,'Quadro 3'!$F$10,IF($V37&lt;='Quadro 3'!$F$11,'Quadro 3'!$F$11,IF($V37&lt;='Quadro 3'!$F$12,'Quadro 3'!$F$12,IF($V37&lt;='Quadro 3'!$F$13,'Quadro 3'!$F$13,IF($V37&lt;='Quadro 3'!$F$14,'Quadro 3'!$F$14,IF($V37&lt;='Quadro 3'!$F$15,'Quadro 3'!$F$15,IF($V37&lt;='Quadro 3'!$F$16,'Quadro 3'!$F$16,"")))))))</f>
        <v/>
      </c>
      <c r="Y37" s="938" t="str">
        <f>IF(OR(T37="",T37=0),"",IF($V37&lt;='Quadro 3'!$F$17,'Quadro 3'!$F$17,IF($V37&lt;='Quadro 3'!$F$18,'Quadro 3'!$F$18,IF($V37&lt;='Quadro 3'!$F$19,'Quadro 3'!$F$19,IF($V37&lt;='Quadro 3'!$F$20,'Quadro 3'!$F$20,IF($V37&lt;='Quadro 3'!$F$21,'Quadro 3'!$F$21,IF($V37&lt;='Quadro 3'!$F$22,'Quadro 3'!$F$22,IF($V37&lt;='Quadro 3'!$F$23,'Quadro 3'!$F$23,'Quadro 3'!$F$23))))))))</f>
        <v/>
      </c>
      <c r="Z37" s="936" t="str">
        <f>IF($W37="","",LOOKUP($W37,'Quadro 3'!$F$9:$F$23,'Quadro 3'!$G$9:$G$23))</f>
        <v/>
      </c>
      <c r="AA37" s="1129" t="str">
        <f>IF($W37="","",LOOKUP($W37,'Quadro 3'!$F$9:$F$23,'Quadro 3'!$D$9:$D$23))</f>
        <v/>
      </c>
      <c r="AB37" s="939" t="str">
        <f>IF($W37="","",LOOKUP($W37,'Quadro 3'!$F$9:$F$23,'Quadro 3'!$E$9:$E$23))</f>
        <v/>
      </c>
      <c r="AC37" s="929" t="str">
        <f t="shared" si="7"/>
        <v/>
      </c>
      <c r="AD37" s="1151" t="str">
        <f t="shared" si="134"/>
        <v/>
      </c>
      <c r="AE37" s="1152"/>
      <c r="AF37" s="1121" t="str">
        <f t="shared" si="8"/>
        <v/>
      </c>
      <c r="AG37" s="1123" t="str">
        <f t="shared" si="135"/>
        <v/>
      </c>
      <c r="AH37" s="931" t="str">
        <f t="shared" si="9"/>
        <v/>
      </c>
      <c r="AI37" s="932" t="str">
        <f t="shared" si="10"/>
        <v/>
      </c>
      <c r="AJ37" s="1153" t="str">
        <f t="shared" si="11"/>
        <v/>
      </c>
      <c r="AK37" s="1154"/>
      <c r="AL37" s="933" t="str">
        <f t="shared" si="136"/>
        <v/>
      </c>
      <c r="AM37" s="1138" t="str">
        <f t="shared" si="12"/>
        <v/>
      </c>
      <c r="AN37" s="1139"/>
      <c r="AO37" s="1140"/>
      <c r="AQ37" s="1126"/>
      <c r="AU37" s="1116">
        <f t="shared" si="187"/>
        <v>0</v>
      </c>
      <c r="AV37" s="350" t="str">
        <f t="shared" si="137"/>
        <v/>
      </c>
      <c r="AW37" s="241">
        <f t="shared" si="13"/>
        <v>0</v>
      </c>
      <c r="AX37" s="241" t="str">
        <f t="shared" si="14"/>
        <v/>
      </c>
      <c r="AY37" s="241" t="str">
        <f t="shared" si="15"/>
        <v/>
      </c>
      <c r="AZ37" s="241" t="str">
        <f t="shared" si="16"/>
        <v/>
      </c>
      <c r="BA37" s="2"/>
      <c r="BB37" s="2"/>
      <c r="BC37" s="2"/>
      <c r="BD37" s="2"/>
      <c r="BE37" s="2"/>
      <c r="BF37" s="2"/>
      <c r="BG37" s="2"/>
      <c r="BH37" s="2"/>
      <c r="BI37" s="350" t="str">
        <f t="shared" si="138"/>
        <v>0</v>
      </c>
      <c r="BJ37" s="350">
        <f t="shared" si="139"/>
        <v>0</v>
      </c>
      <c r="BK37" s="911" t="str">
        <f t="shared" si="140"/>
        <v>NA</v>
      </c>
      <c r="BL37" s="911" t="str">
        <f t="shared" si="141"/>
        <v/>
      </c>
      <c r="BM37" s="911" t="str">
        <f t="shared" si="142"/>
        <v/>
      </c>
      <c r="BN37" s="2"/>
      <c r="BO37" s="2"/>
      <c r="BP37" s="2"/>
      <c r="BQ37" s="2"/>
      <c r="BR37" s="2"/>
      <c r="BS37" s="2"/>
      <c r="BT37" s="2"/>
      <c r="BU37" s="2"/>
      <c r="BV37" s="350" t="str">
        <f t="shared" si="143"/>
        <v/>
      </c>
      <c r="BW37" s="235" t="str">
        <f t="shared" si="144"/>
        <v/>
      </c>
      <c r="BX37" s="235" t="str">
        <f t="shared" si="145"/>
        <v/>
      </c>
      <c r="BY37" s="235" t="str">
        <f t="shared" si="146"/>
        <v/>
      </c>
      <c r="BZ37" s="235" t="str">
        <f t="shared" si="147"/>
        <v/>
      </c>
      <c r="CA37" s="235" t="str">
        <f t="shared" si="148"/>
        <v/>
      </c>
      <c r="CB37" s="235" t="str">
        <f t="shared" si="149"/>
        <v/>
      </c>
      <c r="CC37" s="235" t="str">
        <f t="shared" si="150"/>
        <v/>
      </c>
      <c r="CD37" s="235" t="str">
        <f t="shared" si="151"/>
        <v/>
      </c>
      <c r="CE37" s="235" t="str">
        <f t="shared" si="152"/>
        <v/>
      </c>
      <c r="CF37" s="235" t="str">
        <f t="shared" si="153"/>
        <v/>
      </c>
      <c r="CG37" s="235" t="str">
        <f t="shared" si="154"/>
        <v/>
      </c>
      <c r="CH37" s="235" t="str">
        <f t="shared" si="155"/>
        <v/>
      </c>
      <c r="CI37" s="235" t="str">
        <f t="shared" si="156"/>
        <v/>
      </c>
      <c r="CJ37" s="235" t="str">
        <f t="shared" si="157"/>
        <v/>
      </c>
      <c r="CK37" s="235" t="str">
        <f t="shared" si="158"/>
        <v/>
      </c>
      <c r="CL37" s="235" t="str">
        <f t="shared" si="159"/>
        <v/>
      </c>
      <c r="CM37" s="235" t="str">
        <f t="shared" si="160"/>
        <v/>
      </c>
      <c r="CN37" s="235" t="str">
        <f t="shared" si="161"/>
        <v/>
      </c>
      <c r="CO37" s="235" t="str">
        <f t="shared" si="162"/>
        <v/>
      </c>
      <c r="CP37" s="235" t="str">
        <f t="shared" si="163"/>
        <v/>
      </c>
      <c r="CQ37" s="2">
        <v>8</v>
      </c>
      <c r="CR37" s="207" t="str">
        <f t="shared" si="164"/>
        <v/>
      </c>
      <c r="CS37" s="227" t="str">
        <f t="shared" si="165"/>
        <v/>
      </c>
      <c r="CT37" s="209" t="str">
        <f t="shared" si="188"/>
        <v/>
      </c>
      <c r="CU37" s="227" t="str">
        <f t="shared" si="17"/>
        <v/>
      </c>
      <c r="CV37" s="43">
        <f t="shared" si="189"/>
        <v>0</v>
      </c>
      <c r="CW37" s="209" t="str">
        <f t="shared" si="190"/>
        <v/>
      </c>
      <c r="CX37" s="204" t="str">
        <f t="shared" si="191"/>
        <v/>
      </c>
      <c r="CY37" s="43">
        <f t="shared" si="166"/>
        <v>0</v>
      </c>
      <c r="CZ37" s="44">
        <f t="shared" si="193"/>
        <v>0</v>
      </c>
      <c r="DA37" s="45">
        <f t="shared" si="167"/>
        <v>0</v>
      </c>
      <c r="DB37" s="46">
        <f t="shared" si="18"/>
        <v>0</v>
      </c>
      <c r="DC37" s="47" t="str">
        <f t="shared" si="168"/>
        <v/>
      </c>
      <c r="DD37" s="52">
        <f t="shared" si="19"/>
        <v>0</v>
      </c>
      <c r="DE37" s="52">
        <f t="shared" si="20"/>
        <v>0</v>
      </c>
      <c r="DF37" s="52">
        <f t="shared" si="21"/>
        <v>0</v>
      </c>
      <c r="DG37" s="215">
        <f>IF(DC37="",0,MAX(DD37:DE37:DF37))</f>
        <v>0</v>
      </c>
      <c r="DH37" s="115" t="str">
        <f t="shared" si="22"/>
        <v/>
      </c>
      <c r="DI37" s="51" t="str">
        <f t="shared" si="23"/>
        <v/>
      </c>
      <c r="DJ37" s="51" t="str">
        <f t="shared" si="24"/>
        <v/>
      </c>
      <c r="DK37" s="49" t="str">
        <f t="shared" si="169"/>
        <v/>
      </c>
      <c r="DL37" s="52">
        <f t="shared" si="25"/>
        <v>0</v>
      </c>
      <c r="DM37" s="52">
        <f t="shared" si="26"/>
        <v>0</v>
      </c>
      <c r="DN37" s="52">
        <f t="shared" si="27"/>
        <v>0</v>
      </c>
      <c r="DO37" s="215">
        <f>IF(DK37="",0,MAX(DL37:DM37:DN37))</f>
        <v>0</v>
      </c>
      <c r="DP37" s="115" t="str">
        <f t="shared" si="28"/>
        <v/>
      </c>
      <c r="DQ37" s="51" t="str">
        <f t="shared" si="29"/>
        <v/>
      </c>
      <c r="DR37" s="51" t="str">
        <f t="shared" si="30"/>
        <v/>
      </c>
      <c r="DS37" s="49" t="str">
        <f t="shared" si="170"/>
        <v/>
      </c>
      <c r="DT37" s="52">
        <f t="shared" si="31"/>
        <v>0</v>
      </c>
      <c r="DU37" s="52">
        <f t="shared" si="32"/>
        <v>0</v>
      </c>
      <c r="DV37" s="52">
        <f t="shared" si="33"/>
        <v>0</v>
      </c>
      <c r="DW37" s="215">
        <f>IF(DS37="",0,MAX(DT37:DU37:DV37))</f>
        <v>0</v>
      </c>
      <c r="DX37" s="115" t="str">
        <f t="shared" si="34"/>
        <v/>
      </c>
      <c r="DY37" s="51" t="str">
        <f t="shared" si="35"/>
        <v/>
      </c>
      <c r="DZ37" s="51" t="str">
        <f t="shared" si="36"/>
        <v/>
      </c>
      <c r="EA37" s="49" t="str">
        <f t="shared" si="171"/>
        <v/>
      </c>
      <c r="EB37" s="52">
        <f t="shared" si="37"/>
        <v>0</v>
      </c>
      <c r="EC37" s="52">
        <f t="shared" si="38"/>
        <v>0</v>
      </c>
      <c r="ED37" s="52">
        <f t="shared" si="39"/>
        <v>0</v>
      </c>
      <c r="EE37" s="215">
        <f>IF(EA37="",0,MAX(EB37:EC37:ED37))</f>
        <v>0</v>
      </c>
      <c r="EF37" s="115" t="str">
        <f t="shared" si="40"/>
        <v/>
      </c>
      <c r="EG37" s="51" t="str">
        <f t="shared" si="41"/>
        <v/>
      </c>
      <c r="EH37" s="51" t="str">
        <f t="shared" si="42"/>
        <v/>
      </c>
      <c r="EI37" s="49" t="str">
        <f t="shared" si="172"/>
        <v/>
      </c>
      <c r="EJ37" s="52">
        <f t="shared" si="43"/>
        <v>0</v>
      </c>
      <c r="EK37" s="52">
        <f t="shared" si="44"/>
        <v>0</v>
      </c>
      <c r="EL37" s="52">
        <f t="shared" si="45"/>
        <v>0</v>
      </c>
      <c r="EM37" s="215">
        <f>IF(EI37="",0,MAX(EJ37:EK37:EL37))</f>
        <v>0</v>
      </c>
      <c r="EN37" s="115" t="str">
        <f t="shared" si="46"/>
        <v/>
      </c>
      <c r="EO37" s="51" t="str">
        <f t="shared" si="47"/>
        <v/>
      </c>
      <c r="EP37" s="51" t="str">
        <f t="shared" si="48"/>
        <v/>
      </c>
      <c r="EQ37" s="49" t="str">
        <f t="shared" si="173"/>
        <v/>
      </c>
      <c r="ER37" s="52">
        <f t="shared" si="49"/>
        <v>0</v>
      </c>
      <c r="ES37" s="52">
        <f t="shared" si="50"/>
        <v>0</v>
      </c>
      <c r="ET37" s="52">
        <f t="shared" si="51"/>
        <v>0</v>
      </c>
      <c r="EU37" s="215">
        <f>IF(EQ37="",0,MAX(ER37:ES37:ET37))</f>
        <v>0</v>
      </c>
      <c r="EV37" s="115" t="str">
        <f t="shared" si="52"/>
        <v/>
      </c>
      <c r="EW37" s="51" t="str">
        <f t="shared" si="53"/>
        <v/>
      </c>
      <c r="EX37" s="51" t="str">
        <f t="shared" si="54"/>
        <v/>
      </c>
      <c r="EY37" s="49" t="str">
        <f t="shared" si="174"/>
        <v/>
      </c>
      <c r="EZ37" s="52">
        <f t="shared" si="55"/>
        <v>0</v>
      </c>
      <c r="FA37" s="52">
        <f t="shared" si="56"/>
        <v>0</v>
      </c>
      <c r="FB37" s="52">
        <f t="shared" si="57"/>
        <v>0</v>
      </c>
      <c r="FC37" s="215">
        <f>IF(EY37="",0,MAX(EZ37:FA37:FB37))</f>
        <v>0</v>
      </c>
      <c r="FD37" s="115" t="str">
        <f t="shared" si="58"/>
        <v/>
      </c>
      <c r="FE37" s="51" t="str">
        <f t="shared" si="59"/>
        <v/>
      </c>
      <c r="FF37" s="51" t="str">
        <f t="shared" si="60"/>
        <v/>
      </c>
      <c r="FG37" s="49" t="str">
        <f t="shared" si="175"/>
        <v/>
      </c>
      <c r="FH37" s="52">
        <f t="shared" si="61"/>
        <v>0</v>
      </c>
      <c r="FI37" s="52">
        <f t="shared" si="62"/>
        <v>0</v>
      </c>
      <c r="FJ37" s="52">
        <f t="shared" si="63"/>
        <v>0</v>
      </c>
      <c r="FK37" s="215">
        <f>IF(FG37="",0,MAX(FH37:FI37:FJ37))</f>
        <v>0</v>
      </c>
      <c r="FL37" s="115" t="str">
        <f t="shared" si="64"/>
        <v/>
      </c>
      <c r="FM37" s="51" t="str">
        <f t="shared" si="65"/>
        <v/>
      </c>
      <c r="FN37" s="51" t="str">
        <f t="shared" si="66"/>
        <v/>
      </c>
      <c r="FO37" s="49" t="str">
        <f t="shared" si="176"/>
        <v/>
      </c>
      <c r="FP37" s="52">
        <f t="shared" si="67"/>
        <v>0</v>
      </c>
      <c r="FQ37" s="52">
        <f t="shared" si="68"/>
        <v>0</v>
      </c>
      <c r="FR37" s="52">
        <f t="shared" si="69"/>
        <v>0</v>
      </c>
      <c r="FS37" s="215">
        <f>IF(FO37="",0,MAX(FP37:FQ37:FR37))</f>
        <v>0</v>
      </c>
      <c r="FT37" s="115" t="str">
        <f t="shared" si="70"/>
        <v/>
      </c>
      <c r="FU37" s="51" t="str">
        <f t="shared" si="71"/>
        <v/>
      </c>
      <c r="FV37" s="51" t="str">
        <f t="shared" si="72"/>
        <v/>
      </c>
      <c r="FW37" s="49" t="str">
        <f t="shared" si="177"/>
        <v/>
      </c>
      <c r="FX37" s="52">
        <f t="shared" si="73"/>
        <v>0</v>
      </c>
      <c r="FY37" s="52">
        <f t="shared" si="74"/>
        <v>0</v>
      </c>
      <c r="FZ37" s="52">
        <f t="shared" si="75"/>
        <v>0</v>
      </c>
      <c r="GA37" s="215">
        <f>IF(FW37="",0,MAX(FX37:FY37:FZ37))</f>
        <v>0</v>
      </c>
      <c r="GB37" s="115" t="str">
        <f t="shared" si="76"/>
        <v/>
      </c>
      <c r="GC37" s="51" t="str">
        <f t="shared" si="77"/>
        <v/>
      </c>
      <c r="GD37" s="51" t="str">
        <f t="shared" si="78"/>
        <v/>
      </c>
      <c r="GE37" s="49" t="str">
        <f t="shared" si="178"/>
        <v/>
      </c>
      <c r="GF37" s="52">
        <f t="shared" si="79"/>
        <v>0</v>
      </c>
      <c r="GG37" s="52">
        <f t="shared" si="80"/>
        <v>0</v>
      </c>
      <c r="GH37" s="52">
        <f t="shared" si="81"/>
        <v>0</v>
      </c>
      <c r="GI37" s="215">
        <f>IF(GE37="",0,MAX(GF37:GG37:GH37))</f>
        <v>0</v>
      </c>
      <c r="GJ37" s="115" t="str">
        <f t="shared" si="82"/>
        <v/>
      </c>
      <c r="GK37" s="51" t="str">
        <f t="shared" si="83"/>
        <v/>
      </c>
      <c r="GL37" s="51" t="str">
        <f t="shared" si="84"/>
        <v/>
      </c>
      <c r="GM37" s="49" t="str">
        <f t="shared" si="179"/>
        <v/>
      </c>
      <c r="GN37" s="52">
        <f t="shared" si="85"/>
        <v>0</v>
      </c>
      <c r="GO37" s="52">
        <f t="shared" si="86"/>
        <v>0</v>
      </c>
      <c r="GP37" s="52">
        <f t="shared" si="87"/>
        <v>0</v>
      </c>
      <c r="GQ37" s="215">
        <f>IF(GM37="",0,MAX(GN37:GO37:GP37))</f>
        <v>0</v>
      </c>
      <c r="GR37" s="115" t="str">
        <f t="shared" si="88"/>
        <v/>
      </c>
      <c r="GS37" s="51" t="str">
        <f t="shared" si="89"/>
        <v/>
      </c>
      <c r="GT37" s="51" t="str">
        <f t="shared" si="90"/>
        <v/>
      </c>
      <c r="GU37" s="49" t="str">
        <f t="shared" si="180"/>
        <v/>
      </c>
      <c r="GV37" s="52">
        <f t="shared" si="91"/>
        <v>0</v>
      </c>
      <c r="GW37" s="52">
        <f t="shared" si="92"/>
        <v>0</v>
      </c>
      <c r="GX37" s="52">
        <f t="shared" si="93"/>
        <v>0</v>
      </c>
      <c r="GY37" s="215">
        <f>IF(GU37="",0,MAX(GV37:GW37:GX37))</f>
        <v>0</v>
      </c>
      <c r="GZ37" s="115" t="str">
        <f t="shared" si="94"/>
        <v/>
      </c>
      <c r="HA37" s="51" t="str">
        <f t="shared" si="95"/>
        <v/>
      </c>
      <c r="HB37" s="51" t="str">
        <f t="shared" si="96"/>
        <v/>
      </c>
      <c r="HC37" s="49" t="str">
        <f t="shared" si="181"/>
        <v/>
      </c>
      <c r="HD37" s="52">
        <f t="shared" si="97"/>
        <v>0</v>
      </c>
      <c r="HE37" s="52">
        <f t="shared" si="98"/>
        <v>0</v>
      </c>
      <c r="HF37" s="52">
        <f t="shared" si="99"/>
        <v>0</v>
      </c>
      <c r="HG37" s="215">
        <f>IF(HC37="",0,MAX(HD37:HE37:HF37))</f>
        <v>0</v>
      </c>
      <c r="HH37" s="115" t="str">
        <f t="shared" si="100"/>
        <v/>
      </c>
      <c r="HI37" s="51" t="str">
        <f t="shared" si="101"/>
        <v/>
      </c>
      <c r="HJ37" s="51" t="str">
        <f t="shared" si="102"/>
        <v/>
      </c>
      <c r="HK37" s="49" t="str">
        <f t="shared" si="182"/>
        <v/>
      </c>
      <c r="HL37" s="52">
        <f t="shared" si="103"/>
        <v>0</v>
      </c>
      <c r="HM37" s="52">
        <f t="shared" si="104"/>
        <v>0</v>
      </c>
      <c r="HN37" s="52">
        <f t="shared" si="105"/>
        <v>0</v>
      </c>
      <c r="HO37" s="215">
        <f>IF(HK37="",0,MAX(HL37:HM37:HN37))</f>
        <v>0</v>
      </c>
      <c r="HP37" s="115" t="str">
        <f t="shared" si="106"/>
        <v/>
      </c>
      <c r="HQ37" s="51" t="str">
        <f t="shared" si="107"/>
        <v/>
      </c>
      <c r="HR37" s="51" t="str">
        <f t="shared" si="108"/>
        <v/>
      </c>
      <c r="HS37" s="49" t="str">
        <f t="shared" si="183"/>
        <v/>
      </c>
      <c r="HT37" s="52">
        <f t="shared" si="109"/>
        <v>0</v>
      </c>
      <c r="HU37" s="52">
        <f t="shared" si="110"/>
        <v>0</v>
      </c>
      <c r="HV37" s="52">
        <f t="shared" si="111"/>
        <v>0</v>
      </c>
      <c r="HW37" s="215">
        <f>IF(HS37="",0,MAX(HT37:HU37:HV37))</f>
        <v>0</v>
      </c>
      <c r="HX37" s="115" t="str">
        <f t="shared" si="112"/>
        <v/>
      </c>
      <c r="HY37" s="51" t="str">
        <f t="shared" si="113"/>
        <v/>
      </c>
      <c r="HZ37" s="51" t="str">
        <f t="shared" si="114"/>
        <v/>
      </c>
      <c r="IA37" s="49" t="str">
        <f t="shared" si="184"/>
        <v/>
      </c>
      <c r="IB37" s="52">
        <f t="shared" si="115"/>
        <v>0</v>
      </c>
      <c r="IC37" s="52">
        <f t="shared" si="116"/>
        <v>0</v>
      </c>
      <c r="ID37" s="52">
        <f t="shared" si="117"/>
        <v>0</v>
      </c>
      <c r="IE37" s="215">
        <f>IF(IA37="",0,MAX(IB37:IC37:ID37))</f>
        <v>0</v>
      </c>
      <c r="IF37" s="115" t="str">
        <f t="shared" si="118"/>
        <v/>
      </c>
      <c r="IG37" s="51" t="str">
        <f t="shared" si="119"/>
        <v/>
      </c>
      <c r="IH37" s="51" t="str">
        <f t="shared" si="120"/>
        <v/>
      </c>
      <c r="II37" s="49" t="str">
        <f t="shared" si="185"/>
        <v/>
      </c>
      <c r="IJ37" s="52">
        <f t="shared" si="121"/>
        <v>0</v>
      </c>
      <c r="IK37" s="52">
        <f t="shared" si="122"/>
        <v>0</v>
      </c>
      <c r="IL37" s="52">
        <f t="shared" si="123"/>
        <v>0</v>
      </c>
      <c r="IM37" s="215">
        <f>IF(II37="",0,MAX(IJ37:IK37:IL37))</f>
        <v>0</v>
      </c>
      <c r="IN37" s="115" t="str">
        <f t="shared" si="124"/>
        <v/>
      </c>
      <c r="IO37" s="51" t="str">
        <f t="shared" si="125"/>
        <v/>
      </c>
      <c r="IP37" s="51" t="str">
        <f t="shared" si="126"/>
        <v/>
      </c>
      <c r="IQ37" s="49" t="str">
        <f t="shared" si="186"/>
        <v/>
      </c>
      <c r="IR37" s="52">
        <f t="shared" si="127"/>
        <v>0</v>
      </c>
      <c r="IS37" s="52">
        <f t="shared" si="128"/>
        <v>0</v>
      </c>
      <c r="IT37" s="52">
        <f t="shared" si="129"/>
        <v>0</v>
      </c>
      <c r="IU37" s="215">
        <f>IF(IQ37="",0,MAX(IR37:IS37:IT37))</f>
        <v>0</v>
      </c>
    </row>
    <row r="38" spans="1:256" s="16" customFormat="1" ht="18" customHeight="1" thickTop="1" thickBot="1" x14ac:dyDescent="0.35">
      <c r="A38" s="902" t="str">
        <f t="shared" si="130"/>
        <v/>
      </c>
      <c r="B38" s="903"/>
      <c r="C38" s="708"/>
      <c r="D38" s="709" t="str">
        <f t="shared" si="131"/>
        <v/>
      </c>
      <c r="E38" s="843" t="str">
        <f>IF(D38="","",SUM(D$30:D38))</f>
        <v/>
      </c>
      <c r="F38" s="951"/>
      <c r="G38" s="952"/>
      <c r="H38" s="953"/>
      <c r="I38" s="954"/>
      <c r="J38" s="955"/>
      <c r="K38" s="956"/>
      <c r="L38" s="925"/>
      <c r="M38" s="927" t="str">
        <f t="shared" si="132"/>
        <v/>
      </c>
      <c r="N38" s="934" t="str">
        <f>IF(AND(H38="",I38=""),"",IF($D$19="x",1,IF($K$16="",LOOKUP((H38+I38),'Quadro 2 Ordenado'!$B$6:'Quadro 2 Ordenado'!$B$107,'Quadro 2 Ordenado'!$C$6:'Quadro 2 Ordenado'!$C$107),LOOKUP((H38+I38),'Quadro 2 Ordenado'!$B$6:'Quadro 2 Ordenado'!$B$107,'Quadro 2 Ordenado'!$D$6:'Quadro 2 Ordenado'!$D$107))))</f>
        <v/>
      </c>
      <c r="O38" s="50"/>
      <c r="P38" s="928" t="str">
        <f t="shared" si="133"/>
        <v/>
      </c>
      <c r="S38" s="935" t="str">
        <f t="shared" si="5"/>
        <v/>
      </c>
      <c r="T38" s="111" t="str">
        <f t="shared" si="6"/>
        <v/>
      </c>
      <c r="U38" s="926"/>
      <c r="V38" s="610" t="str">
        <f t="shared" si="192"/>
        <v/>
      </c>
      <c r="W38" s="936" t="str">
        <f>IF(OR(T38="",T38=0),"",IF($V38&gt;'Quadro 3'!$F$23,'Quadro 3'!$F$23,IF($V38&lt;'Quadro 3'!$F$10,'Quadro 3'!$F$10,MIN($X38,$Y38))))</f>
        <v/>
      </c>
      <c r="X38" s="937" t="str">
        <f>IF($V38&lt;='Quadro 3'!$F$10,'Quadro 3'!$F$10,IF($V38&lt;='Quadro 3'!$F$11,'Quadro 3'!$F$11,IF($V38&lt;='Quadro 3'!$F$12,'Quadro 3'!$F$12,IF($V38&lt;='Quadro 3'!$F$13,'Quadro 3'!$F$13,IF($V38&lt;='Quadro 3'!$F$14,'Quadro 3'!$F$14,IF($V38&lt;='Quadro 3'!$F$15,'Quadro 3'!$F$15,IF($V38&lt;='Quadro 3'!$F$16,'Quadro 3'!$F$16,"")))))))</f>
        <v/>
      </c>
      <c r="Y38" s="938" t="str">
        <f>IF(OR(T38="",T38=0),"",IF($V38&lt;='Quadro 3'!$F$17,'Quadro 3'!$F$17,IF($V38&lt;='Quadro 3'!$F$18,'Quadro 3'!$F$18,IF($V38&lt;='Quadro 3'!$F$19,'Quadro 3'!$F$19,IF($V38&lt;='Quadro 3'!$F$20,'Quadro 3'!$F$20,IF($V38&lt;='Quadro 3'!$F$21,'Quadro 3'!$F$21,IF($V38&lt;='Quadro 3'!$F$22,'Quadro 3'!$F$22,IF($V38&lt;='Quadro 3'!$F$23,'Quadro 3'!$F$23,'Quadro 3'!$F$23))))))))</f>
        <v/>
      </c>
      <c r="Z38" s="936" t="str">
        <f>IF($W38="","",LOOKUP($W38,'Quadro 3'!$F$9:$F$23,'Quadro 3'!$G$9:$G$23))</f>
        <v/>
      </c>
      <c r="AA38" s="1129" t="str">
        <f>IF($W38="","",LOOKUP($W38,'Quadro 3'!$F$9:$F$23,'Quadro 3'!$D$9:$D$23))</f>
        <v/>
      </c>
      <c r="AB38" s="939" t="str">
        <f>IF($W38="","",LOOKUP($W38,'Quadro 3'!$F$9:$F$23,'Quadro 3'!$E$9:$E$23))</f>
        <v/>
      </c>
      <c r="AC38" s="929" t="str">
        <f t="shared" si="7"/>
        <v/>
      </c>
      <c r="AD38" s="1151" t="str">
        <f t="shared" si="134"/>
        <v/>
      </c>
      <c r="AE38" s="1152"/>
      <c r="AF38" s="1121" t="str">
        <f t="shared" si="8"/>
        <v/>
      </c>
      <c r="AG38" s="1123" t="str">
        <f t="shared" si="135"/>
        <v/>
      </c>
      <c r="AH38" s="931" t="str">
        <f t="shared" si="9"/>
        <v/>
      </c>
      <c r="AI38" s="932" t="str">
        <f t="shared" si="10"/>
        <v/>
      </c>
      <c r="AJ38" s="1153" t="str">
        <f t="shared" si="11"/>
        <v/>
      </c>
      <c r="AK38" s="1154"/>
      <c r="AL38" s="933" t="str">
        <f t="shared" si="136"/>
        <v/>
      </c>
      <c r="AM38" s="1138" t="str">
        <f t="shared" si="12"/>
        <v/>
      </c>
      <c r="AN38" s="1139"/>
      <c r="AO38" s="1140"/>
      <c r="AQ38" s="1126"/>
      <c r="AU38" s="1116">
        <f t="shared" si="187"/>
        <v>0</v>
      </c>
      <c r="AV38" s="350" t="str">
        <f t="shared" si="137"/>
        <v/>
      </c>
      <c r="AW38" s="241">
        <f t="shared" si="13"/>
        <v>0</v>
      </c>
      <c r="AX38" s="241" t="str">
        <f t="shared" si="14"/>
        <v/>
      </c>
      <c r="AY38" s="241" t="str">
        <f t="shared" si="15"/>
        <v/>
      </c>
      <c r="AZ38" s="241" t="str">
        <f t="shared" si="16"/>
        <v/>
      </c>
      <c r="BA38" s="2"/>
      <c r="BB38" s="2"/>
      <c r="BC38" s="2"/>
      <c r="BD38" s="2"/>
      <c r="BE38" s="2"/>
      <c r="BF38" s="2"/>
      <c r="BG38" s="2"/>
      <c r="BH38" s="2"/>
      <c r="BI38" s="350" t="str">
        <f t="shared" si="138"/>
        <v>0</v>
      </c>
      <c r="BJ38" s="350">
        <f t="shared" si="139"/>
        <v>0</v>
      </c>
      <c r="BK38" s="911" t="str">
        <f t="shared" si="140"/>
        <v>NA</v>
      </c>
      <c r="BL38" s="911" t="str">
        <f t="shared" si="141"/>
        <v/>
      </c>
      <c r="BM38" s="911" t="str">
        <f t="shared" si="142"/>
        <v/>
      </c>
      <c r="BN38" s="2"/>
      <c r="BO38" s="2"/>
      <c r="BP38" s="2"/>
      <c r="BQ38" s="2"/>
      <c r="BR38" s="2"/>
      <c r="BS38" s="2"/>
      <c r="BT38" s="2"/>
      <c r="BU38" s="2"/>
      <c r="BV38" s="350" t="str">
        <f t="shared" si="143"/>
        <v/>
      </c>
      <c r="BW38" s="235" t="str">
        <f t="shared" si="144"/>
        <v/>
      </c>
      <c r="BX38" s="235" t="str">
        <f t="shared" si="145"/>
        <v/>
      </c>
      <c r="BY38" s="235" t="str">
        <f t="shared" si="146"/>
        <v/>
      </c>
      <c r="BZ38" s="235" t="str">
        <f t="shared" si="147"/>
        <v/>
      </c>
      <c r="CA38" s="235" t="str">
        <f t="shared" si="148"/>
        <v/>
      </c>
      <c r="CB38" s="235" t="str">
        <f t="shared" si="149"/>
        <v/>
      </c>
      <c r="CC38" s="235" t="str">
        <f t="shared" si="150"/>
        <v/>
      </c>
      <c r="CD38" s="235" t="str">
        <f t="shared" si="151"/>
        <v/>
      </c>
      <c r="CE38" s="235" t="str">
        <f t="shared" si="152"/>
        <v/>
      </c>
      <c r="CF38" s="235" t="str">
        <f t="shared" si="153"/>
        <v/>
      </c>
      <c r="CG38" s="235" t="str">
        <f t="shared" si="154"/>
        <v/>
      </c>
      <c r="CH38" s="235" t="str">
        <f t="shared" si="155"/>
        <v/>
      </c>
      <c r="CI38" s="235" t="str">
        <f t="shared" si="156"/>
        <v/>
      </c>
      <c r="CJ38" s="235" t="str">
        <f t="shared" si="157"/>
        <v/>
      </c>
      <c r="CK38" s="235" t="str">
        <f t="shared" si="158"/>
        <v/>
      </c>
      <c r="CL38" s="235" t="str">
        <f t="shared" si="159"/>
        <v/>
      </c>
      <c r="CM38" s="235" t="str">
        <f t="shared" si="160"/>
        <v/>
      </c>
      <c r="CN38" s="235" t="str">
        <f t="shared" si="161"/>
        <v/>
      </c>
      <c r="CO38" s="235" t="str">
        <f t="shared" si="162"/>
        <v/>
      </c>
      <c r="CP38" s="235" t="str">
        <f t="shared" si="163"/>
        <v/>
      </c>
      <c r="CQ38" s="2">
        <v>9</v>
      </c>
      <c r="CR38" s="207" t="str">
        <f t="shared" si="164"/>
        <v/>
      </c>
      <c r="CS38" s="227" t="str">
        <f t="shared" si="165"/>
        <v/>
      </c>
      <c r="CT38" s="209" t="str">
        <f t="shared" si="188"/>
        <v/>
      </c>
      <c r="CU38" s="227" t="str">
        <f t="shared" si="17"/>
        <v/>
      </c>
      <c r="CV38" s="43">
        <f t="shared" si="189"/>
        <v>0</v>
      </c>
      <c r="CW38" s="209" t="str">
        <f t="shared" si="190"/>
        <v/>
      </c>
      <c r="CX38" s="204" t="str">
        <f t="shared" si="191"/>
        <v/>
      </c>
      <c r="CY38" s="43">
        <f t="shared" si="166"/>
        <v>0</v>
      </c>
      <c r="CZ38" s="44">
        <f t="shared" si="193"/>
        <v>0</v>
      </c>
      <c r="DA38" s="45">
        <f t="shared" si="167"/>
        <v>0</v>
      </c>
      <c r="DB38" s="46">
        <f t="shared" si="18"/>
        <v>0</v>
      </c>
      <c r="DC38" s="47" t="str">
        <f t="shared" si="168"/>
        <v/>
      </c>
      <c r="DD38" s="52">
        <f t="shared" si="19"/>
        <v>0</v>
      </c>
      <c r="DE38" s="52">
        <f t="shared" si="20"/>
        <v>0</v>
      </c>
      <c r="DF38" s="52">
        <f t="shared" si="21"/>
        <v>0</v>
      </c>
      <c r="DG38" s="215">
        <f>IF(DC38="",0,MAX(DD38:DE38:DF38))</f>
        <v>0</v>
      </c>
      <c r="DH38" s="115" t="str">
        <f t="shared" si="22"/>
        <v/>
      </c>
      <c r="DI38" s="51" t="str">
        <f t="shared" si="23"/>
        <v/>
      </c>
      <c r="DJ38" s="51" t="str">
        <f t="shared" si="24"/>
        <v/>
      </c>
      <c r="DK38" s="49" t="str">
        <f t="shared" si="169"/>
        <v/>
      </c>
      <c r="DL38" s="52">
        <f t="shared" si="25"/>
        <v>0</v>
      </c>
      <c r="DM38" s="52">
        <f t="shared" si="26"/>
        <v>0</v>
      </c>
      <c r="DN38" s="52">
        <f t="shared" si="27"/>
        <v>0</v>
      </c>
      <c r="DO38" s="215">
        <f>IF(DK38="",0,MAX(DL38:DM38:DN38))</f>
        <v>0</v>
      </c>
      <c r="DP38" s="115" t="str">
        <f t="shared" si="28"/>
        <v/>
      </c>
      <c r="DQ38" s="51" t="str">
        <f t="shared" si="29"/>
        <v/>
      </c>
      <c r="DR38" s="51" t="str">
        <f t="shared" si="30"/>
        <v/>
      </c>
      <c r="DS38" s="49" t="str">
        <f t="shared" si="170"/>
        <v/>
      </c>
      <c r="DT38" s="52">
        <f t="shared" si="31"/>
        <v>0</v>
      </c>
      <c r="DU38" s="52">
        <f t="shared" si="32"/>
        <v>0</v>
      </c>
      <c r="DV38" s="52">
        <f t="shared" si="33"/>
        <v>0</v>
      </c>
      <c r="DW38" s="215">
        <f>IF(DS38="",0,MAX(DT38:DU38:DV38))</f>
        <v>0</v>
      </c>
      <c r="DX38" s="115" t="str">
        <f t="shared" si="34"/>
        <v/>
      </c>
      <c r="DY38" s="51" t="str">
        <f t="shared" si="35"/>
        <v/>
      </c>
      <c r="DZ38" s="51" t="str">
        <f t="shared" si="36"/>
        <v/>
      </c>
      <c r="EA38" s="49" t="str">
        <f t="shared" si="171"/>
        <v/>
      </c>
      <c r="EB38" s="52">
        <f t="shared" si="37"/>
        <v>0</v>
      </c>
      <c r="EC38" s="52">
        <f t="shared" si="38"/>
        <v>0</v>
      </c>
      <c r="ED38" s="52">
        <f t="shared" si="39"/>
        <v>0</v>
      </c>
      <c r="EE38" s="215">
        <f>IF(EA38="",0,MAX(EB38:EC38:ED38))</f>
        <v>0</v>
      </c>
      <c r="EF38" s="115" t="str">
        <f t="shared" si="40"/>
        <v/>
      </c>
      <c r="EG38" s="51" t="str">
        <f t="shared" si="41"/>
        <v/>
      </c>
      <c r="EH38" s="51" t="str">
        <f t="shared" si="42"/>
        <v/>
      </c>
      <c r="EI38" s="49" t="str">
        <f t="shared" si="172"/>
        <v/>
      </c>
      <c r="EJ38" s="52">
        <f t="shared" si="43"/>
        <v>0</v>
      </c>
      <c r="EK38" s="52">
        <f t="shared" si="44"/>
        <v>0</v>
      </c>
      <c r="EL38" s="52">
        <f t="shared" si="45"/>
        <v>0</v>
      </c>
      <c r="EM38" s="215">
        <f>IF(EI38="",0,MAX(EJ38:EK38:EL38))</f>
        <v>0</v>
      </c>
      <c r="EN38" s="115" t="str">
        <f t="shared" si="46"/>
        <v/>
      </c>
      <c r="EO38" s="51" t="str">
        <f t="shared" si="47"/>
        <v/>
      </c>
      <c r="EP38" s="51" t="str">
        <f t="shared" si="48"/>
        <v/>
      </c>
      <c r="EQ38" s="49" t="str">
        <f t="shared" si="173"/>
        <v/>
      </c>
      <c r="ER38" s="52">
        <f t="shared" si="49"/>
        <v>0</v>
      </c>
      <c r="ES38" s="52">
        <f t="shared" si="50"/>
        <v>0</v>
      </c>
      <c r="ET38" s="52">
        <f t="shared" si="51"/>
        <v>0</v>
      </c>
      <c r="EU38" s="215">
        <f>IF(EQ38="",0,MAX(ER38:ES38:ET38))</f>
        <v>0</v>
      </c>
      <c r="EV38" s="115" t="str">
        <f t="shared" si="52"/>
        <v/>
      </c>
      <c r="EW38" s="51" t="str">
        <f t="shared" si="53"/>
        <v/>
      </c>
      <c r="EX38" s="51" t="str">
        <f t="shared" si="54"/>
        <v/>
      </c>
      <c r="EY38" s="49" t="str">
        <f t="shared" si="174"/>
        <v/>
      </c>
      <c r="EZ38" s="52">
        <f t="shared" si="55"/>
        <v>0</v>
      </c>
      <c r="FA38" s="52">
        <f t="shared" si="56"/>
        <v>0</v>
      </c>
      <c r="FB38" s="52">
        <f t="shared" si="57"/>
        <v>0</v>
      </c>
      <c r="FC38" s="215">
        <f>IF(EY38="",0,MAX(EZ38:FA38:FB38))</f>
        <v>0</v>
      </c>
      <c r="FD38" s="115" t="str">
        <f t="shared" si="58"/>
        <v/>
      </c>
      <c r="FE38" s="51" t="str">
        <f t="shared" si="59"/>
        <v/>
      </c>
      <c r="FF38" s="51" t="str">
        <f t="shared" si="60"/>
        <v/>
      </c>
      <c r="FG38" s="49" t="str">
        <f t="shared" si="175"/>
        <v/>
      </c>
      <c r="FH38" s="52">
        <f t="shared" si="61"/>
        <v>0</v>
      </c>
      <c r="FI38" s="52">
        <f t="shared" si="62"/>
        <v>0</v>
      </c>
      <c r="FJ38" s="52">
        <f t="shared" si="63"/>
        <v>0</v>
      </c>
      <c r="FK38" s="215">
        <f>IF(FG38="",0,MAX(FH38:FI38:FJ38))</f>
        <v>0</v>
      </c>
      <c r="FL38" s="115" t="str">
        <f t="shared" si="64"/>
        <v/>
      </c>
      <c r="FM38" s="51" t="str">
        <f t="shared" si="65"/>
        <v/>
      </c>
      <c r="FN38" s="51" t="str">
        <f t="shared" si="66"/>
        <v/>
      </c>
      <c r="FO38" s="49" t="str">
        <f t="shared" si="176"/>
        <v/>
      </c>
      <c r="FP38" s="52">
        <f t="shared" si="67"/>
        <v>0</v>
      </c>
      <c r="FQ38" s="52">
        <f t="shared" si="68"/>
        <v>0</v>
      </c>
      <c r="FR38" s="52">
        <f t="shared" si="69"/>
        <v>0</v>
      </c>
      <c r="FS38" s="215">
        <f>IF(FO38="",0,MAX(FP38:FQ38:FR38))</f>
        <v>0</v>
      </c>
      <c r="FT38" s="115" t="str">
        <f t="shared" si="70"/>
        <v/>
      </c>
      <c r="FU38" s="51" t="str">
        <f t="shared" si="71"/>
        <v/>
      </c>
      <c r="FV38" s="51" t="str">
        <f t="shared" si="72"/>
        <v/>
      </c>
      <c r="FW38" s="49" t="str">
        <f t="shared" si="177"/>
        <v/>
      </c>
      <c r="FX38" s="52">
        <f t="shared" si="73"/>
        <v>0</v>
      </c>
      <c r="FY38" s="52">
        <f t="shared" si="74"/>
        <v>0</v>
      </c>
      <c r="FZ38" s="52">
        <f t="shared" si="75"/>
        <v>0</v>
      </c>
      <c r="GA38" s="215">
        <f>IF(FW38="",0,MAX(FX38:FY38:FZ38))</f>
        <v>0</v>
      </c>
      <c r="GB38" s="115" t="str">
        <f t="shared" si="76"/>
        <v/>
      </c>
      <c r="GC38" s="51" t="str">
        <f t="shared" si="77"/>
        <v/>
      </c>
      <c r="GD38" s="51" t="str">
        <f t="shared" si="78"/>
        <v/>
      </c>
      <c r="GE38" s="49" t="str">
        <f t="shared" si="178"/>
        <v/>
      </c>
      <c r="GF38" s="52">
        <f t="shared" si="79"/>
        <v>0</v>
      </c>
      <c r="GG38" s="52">
        <f t="shared" si="80"/>
        <v>0</v>
      </c>
      <c r="GH38" s="52">
        <f t="shared" si="81"/>
        <v>0</v>
      </c>
      <c r="GI38" s="215">
        <f>IF(GE38="",0,MAX(GF38:GG38:GH38))</f>
        <v>0</v>
      </c>
      <c r="GJ38" s="115" t="str">
        <f t="shared" si="82"/>
        <v/>
      </c>
      <c r="GK38" s="51" t="str">
        <f t="shared" si="83"/>
        <v/>
      </c>
      <c r="GL38" s="51" t="str">
        <f t="shared" si="84"/>
        <v/>
      </c>
      <c r="GM38" s="49" t="str">
        <f t="shared" si="179"/>
        <v/>
      </c>
      <c r="GN38" s="52">
        <f t="shared" si="85"/>
        <v>0</v>
      </c>
      <c r="GO38" s="52">
        <f t="shared" si="86"/>
        <v>0</v>
      </c>
      <c r="GP38" s="52">
        <f t="shared" si="87"/>
        <v>0</v>
      </c>
      <c r="GQ38" s="215">
        <f>IF(GM38="",0,MAX(GN38:GO38:GP38))</f>
        <v>0</v>
      </c>
      <c r="GR38" s="115" t="str">
        <f t="shared" si="88"/>
        <v/>
      </c>
      <c r="GS38" s="51" t="str">
        <f t="shared" si="89"/>
        <v/>
      </c>
      <c r="GT38" s="51" t="str">
        <f t="shared" si="90"/>
        <v/>
      </c>
      <c r="GU38" s="49" t="str">
        <f t="shared" si="180"/>
        <v/>
      </c>
      <c r="GV38" s="52">
        <f t="shared" si="91"/>
        <v>0</v>
      </c>
      <c r="GW38" s="52">
        <f t="shared" si="92"/>
        <v>0</v>
      </c>
      <c r="GX38" s="52">
        <f t="shared" si="93"/>
        <v>0</v>
      </c>
      <c r="GY38" s="215">
        <f>IF(GU38="",0,MAX(GV38:GW38:GX38))</f>
        <v>0</v>
      </c>
      <c r="GZ38" s="115" t="str">
        <f t="shared" si="94"/>
        <v/>
      </c>
      <c r="HA38" s="51" t="str">
        <f t="shared" si="95"/>
        <v/>
      </c>
      <c r="HB38" s="51" t="str">
        <f t="shared" si="96"/>
        <v/>
      </c>
      <c r="HC38" s="49" t="str">
        <f t="shared" si="181"/>
        <v/>
      </c>
      <c r="HD38" s="52">
        <f t="shared" si="97"/>
        <v>0</v>
      </c>
      <c r="HE38" s="52">
        <f t="shared" si="98"/>
        <v>0</v>
      </c>
      <c r="HF38" s="52">
        <f t="shared" si="99"/>
        <v>0</v>
      </c>
      <c r="HG38" s="215">
        <f>IF(HC38="",0,MAX(HD38:HE38:HF38))</f>
        <v>0</v>
      </c>
      <c r="HH38" s="115" t="str">
        <f t="shared" si="100"/>
        <v/>
      </c>
      <c r="HI38" s="51" t="str">
        <f t="shared" si="101"/>
        <v/>
      </c>
      <c r="HJ38" s="51" t="str">
        <f t="shared" si="102"/>
        <v/>
      </c>
      <c r="HK38" s="49" t="str">
        <f t="shared" si="182"/>
        <v/>
      </c>
      <c r="HL38" s="52">
        <f t="shared" si="103"/>
        <v>0</v>
      </c>
      <c r="HM38" s="52">
        <f t="shared" si="104"/>
        <v>0</v>
      </c>
      <c r="HN38" s="52">
        <f t="shared" si="105"/>
        <v>0</v>
      </c>
      <c r="HO38" s="215">
        <f>IF(HK38="",0,MAX(HL38:HM38:HN38))</f>
        <v>0</v>
      </c>
      <c r="HP38" s="115" t="str">
        <f t="shared" si="106"/>
        <v/>
      </c>
      <c r="HQ38" s="51" t="str">
        <f t="shared" si="107"/>
        <v/>
      </c>
      <c r="HR38" s="51" t="str">
        <f t="shared" si="108"/>
        <v/>
      </c>
      <c r="HS38" s="49" t="str">
        <f t="shared" si="183"/>
        <v/>
      </c>
      <c r="HT38" s="52">
        <f t="shared" si="109"/>
        <v>0</v>
      </c>
      <c r="HU38" s="52">
        <f t="shared" si="110"/>
        <v>0</v>
      </c>
      <c r="HV38" s="52">
        <f t="shared" si="111"/>
        <v>0</v>
      </c>
      <c r="HW38" s="215">
        <f>IF(HS38="",0,MAX(HT38:HU38:HV38))</f>
        <v>0</v>
      </c>
      <c r="HX38" s="115" t="str">
        <f t="shared" si="112"/>
        <v/>
      </c>
      <c r="HY38" s="51" t="str">
        <f t="shared" si="113"/>
        <v/>
      </c>
      <c r="HZ38" s="51" t="str">
        <f t="shared" si="114"/>
        <v/>
      </c>
      <c r="IA38" s="49" t="str">
        <f t="shared" si="184"/>
        <v/>
      </c>
      <c r="IB38" s="52">
        <f t="shared" si="115"/>
        <v>0</v>
      </c>
      <c r="IC38" s="52">
        <f t="shared" si="116"/>
        <v>0</v>
      </c>
      <c r="ID38" s="52">
        <f t="shared" si="117"/>
        <v>0</v>
      </c>
      <c r="IE38" s="215">
        <f>IF(IA38="",0,MAX(IB38:IC38:ID38))</f>
        <v>0</v>
      </c>
      <c r="IF38" s="115" t="str">
        <f t="shared" si="118"/>
        <v/>
      </c>
      <c r="IG38" s="51" t="str">
        <f t="shared" si="119"/>
        <v/>
      </c>
      <c r="IH38" s="51" t="str">
        <f t="shared" si="120"/>
        <v/>
      </c>
      <c r="II38" s="49" t="str">
        <f t="shared" si="185"/>
        <v/>
      </c>
      <c r="IJ38" s="52">
        <f t="shared" si="121"/>
        <v>0</v>
      </c>
      <c r="IK38" s="52">
        <f t="shared" si="122"/>
        <v>0</v>
      </c>
      <c r="IL38" s="52">
        <f t="shared" si="123"/>
        <v>0</v>
      </c>
      <c r="IM38" s="215">
        <f>IF(II38="",0,MAX(IJ38:IK38:IL38))</f>
        <v>0</v>
      </c>
      <c r="IN38" s="115" t="str">
        <f t="shared" si="124"/>
        <v/>
      </c>
      <c r="IO38" s="51" t="str">
        <f t="shared" si="125"/>
        <v/>
      </c>
      <c r="IP38" s="51" t="str">
        <f t="shared" si="126"/>
        <v/>
      </c>
      <c r="IQ38" s="49" t="str">
        <f t="shared" si="186"/>
        <v/>
      </c>
      <c r="IR38" s="52">
        <f t="shared" si="127"/>
        <v>0</v>
      </c>
      <c r="IS38" s="52">
        <f t="shared" si="128"/>
        <v>0</v>
      </c>
      <c r="IT38" s="52">
        <f t="shared" si="129"/>
        <v>0</v>
      </c>
      <c r="IU38" s="215">
        <f>IF(IQ38="",0,MAX(IR38:IS38:IT38))</f>
        <v>0</v>
      </c>
    </row>
    <row r="39" spans="1:256" s="16" customFormat="1" ht="18" customHeight="1" thickTop="1" thickBot="1" x14ac:dyDescent="0.35">
      <c r="A39" s="902" t="str">
        <f t="shared" si="130"/>
        <v/>
      </c>
      <c r="B39" s="903"/>
      <c r="C39" s="708"/>
      <c r="D39" s="709" t="str">
        <f t="shared" si="131"/>
        <v/>
      </c>
      <c r="E39" s="843" t="str">
        <f>IF(D39="","",SUM(D$30:D39))</f>
        <v/>
      </c>
      <c r="F39" s="951"/>
      <c r="G39" s="952"/>
      <c r="H39" s="953"/>
      <c r="I39" s="954"/>
      <c r="J39" s="955"/>
      <c r="K39" s="956"/>
      <c r="L39" s="925"/>
      <c r="M39" s="927" t="str">
        <f t="shared" si="132"/>
        <v/>
      </c>
      <c r="N39" s="934" t="str">
        <f>IF(AND(H39="",I39=""),"",IF($D$19="x",1,IF($K$16="",LOOKUP((H39+I39),'Quadro 2 Ordenado'!$B$6:'Quadro 2 Ordenado'!$B$107,'Quadro 2 Ordenado'!$C$6:'Quadro 2 Ordenado'!$C$107),LOOKUP((H39+I39),'Quadro 2 Ordenado'!$B$6:'Quadro 2 Ordenado'!$B$107,'Quadro 2 Ordenado'!$D$6:'Quadro 2 Ordenado'!$D$107))))</f>
        <v/>
      </c>
      <c r="O39" s="50"/>
      <c r="P39" s="928" t="str">
        <f t="shared" si="133"/>
        <v/>
      </c>
      <c r="S39" s="935" t="str">
        <f t="shared" si="5"/>
        <v/>
      </c>
      <c r="T39" s="111" t="str">
        <f t="shared" si="6"/>
        <v/>
      </c>
      <c r="U39" s="926"/>
      <c r="V39" s="610" t="str">
        <f t="shared" si="192"/>
        <v/>
      </c>
      <c r="W39" s="936" t="str">
        <f>IF(OR(T39="",T39=0),"",IF($V39&gt;'Quadro 3'!$F$23,'Quadro 3'!$F$23,IF($V39&lt;'Quadro 3'!$F$10,'Quadro 3'!$F$10,MIN($X39,$Y39))))</f>
        <v/>
      </c>
      <c r="X39" s="937" t="str">
        <f>IF($V39&lt;='Quadro 3'!$F$10,'Quadro 3'!$F$10,IF($V39&lt;='Quadro 3'!$F$11,'Quadro 3'!$F$11,IF($V39&lt;='Quadro 3'!$F$12,'Quadro 3'!$F$12,IF($V39&lt;='Quadro 3'!$F$13,'Quadro 3'!$F$13,IF($V39&lt;='Quadro 3'!$F$14,'Quadro 3'!$F$14,IF($V39&lt;='Quadro 3'!$F$15,'Quadro 3'!$F$15,IF($V39&lt;='Quadro 3'!$F$16,'Quadro 3'!$F$16,"")))))))</f>
        <v/>
      </c>
      <c r="Y39" s="938" t="str">
        <f>IF(OR(T39="",T39=0),"",IF($V39&lt;='Quadro 3'!$F$17,'Quadro 3'!$F$17,IF($V39&lt;='Quadro 3'!$F$18,'Quadro 3'!$F$18,IF($V39&lt;='Quadro 3'!$F$19,'Quadro 3'!$F$19,IF($V39&lt;='Quadro 3'!$F$20,'Quadro 3'!$F$20,IF($V39&lt;='Quadro 3'!$F$21,'Quadro 3'!$F$21,IF($V39&lt;='Quadro 3'!$F$22,'Quadro 3'!$F$22,IF($V39&lt;='Quadro 3'!$F$23,'Quadro 3'!$F$23,'Quadro 3'!$F$23))))))))</f>
        <v/>
      </c>
      <c r="Z39" s="936" t="str">
        <f>IF($W39="","",LOOKUP($W39,'Quadro 3'!$F$9:$F$23,'Quadro 3'!$G$9:$G$23))</f>
        <v/>
      </c>
      <c r="AA39" s="1129" t="str">
        <f>IF($W39="","",LOOKUP($W39,'Quadro 3'!$F$9:$F$23,'Quadro 3'!$D$9:$D$23))</f>
        <v/>
      </c>
      <c r="AB39" s="939" t="str">
        <f>IF($W39="","",LOOKUP($W39,'Quadro 3'!$F$9:$F$23,'Quadro 3'!$E$9:$E$23))</f>
        <v/>
      </c>
      <c r="AC39" s="929" t="str">
        <f t="shared" si="7"/>
        <v/>
      </c>
      <c r="AD39" s="1151" t="str">
        <f t="shared" si="134"/>
        <v/>
      </c>
      <c r="AE39" s="1152"/>
      <c r="AF39" s="1121" t="str">
        <f t="shared" si="8"/>
        <v/>
      </c>
      <c r="AG39" s="1123" t="str">
        <f t="shared" si="135"/>
        <v/>
      </c>
      <c r="AH39" s="931" t="str">
        <f t="shared" si="9"/>
        <v/>
      </c>
      <c r="AI39" s="932" t="str">
        <f t="shared" si="10"/>
        <v/>
      </c>
      <c r="AJ39" s="1153" t="str">
        <f t="shared" si="11"/>
        <v/>
      </c>
      <c r="AK39" s="1154"/>
      <c r="AL39" s="933" t="str">
        <f t="shared" si="136"/>
        <v/>
      </c>
      <c r="AM39" s="1138" t="str">
        <f t="shared" si="12"/>
        <v/>
      </c>
      <c r="AN39" s="1139"/>
      <c r="AO39" s="1140"/>
      <c r="AQ39" s="1126"/>
      <c r="AU39" s="1116">
        <f t="shared" si="187"/>
        <v>0</v>
      </c>
      <c r="AV39" s="350" t="str">
        <f t="shared" si="137"/>
        <v/>
      </c>
      <c r="AW39" s="241">
        <f t="shared" si="13"/>
        <v>0</v>
      </c>
      <c r="AX39" s="241" t="str">
        <f t="shared" si="14"/>
        <v/>
      </c>
      <c r="AY39" s="241" t="str">
        <f t="shared" si="15"/>
        <v/>
      </c>
      <c r="AZ39" s="241" t="str">
        <f t="shared" si="16"/>
        <v/>
      </c>
      <c r="BA39" s="2"/>
      <c r="BB39" s="2"/>
      <c r="BC39" s="2"/>
      <c r="BD39" s="2"/>
      <c r="BE39" s="2"/>
      <c r="BF39" s="2"/>
      <c r="BG39" s="2"/>
      <c r="BH39" s="2"/>
      <c r="BI39" s="350" t="str">
        <f t="shared" si="138"/>
        <v>0</v>
      </c>
      <c r="BJ39" s="350">
        <f t="shared" si="139"/>
        <v>0</v>
      </c>
      <c r="BK39" s="911" t="str">
        <f t="shared" si="140"/>
        <v>NA</v>
      </c>
      <c r="BL39" s="911" t="str">
        <f t="shared" si="141"/>
        <v/>
      </c>
      <c r="BM39" s="911" t="str">
        <f t="shared" si="142"/>
        <v/>
      </c>
      <c r="BN39" s="2"/>
      <c r="BO39" s="2"/>
      <c r="BP39" s="2"/>
      <c r="BQ39" s="2"/>
      <c r="BR39" s="2"/>
      <c r="BS39" s="2"/>
      <c r="BT39" s="2"/>
      <c r="BU39" s="2"/>
      <c r="BV39" s="350" t="str">
        <f t="shared" si="143"/>
        <v/>
      </c>
      <c r="BW39" s="235" t="str">
        <f t="shared" si="144"/>
        <v/>
      </c>
      <c r="BX39" s="235" t="str">
        <f t="shared" si="145"/>
        <v/>
      </c>
      <c r="BY39" s="235" t="str">
        <f t="shared" si="146"/>
        <v/>
      </c>
      <c r="BZ39" s="235" t="str">
        <f t="shared" si="147"/>
        <v/>
      </c>
      <c r="CA39" s="235" t="str">
        <f t="shared" si="148"/>
        <v/>
      </c>
      <c r="CB39" s="235" t="str">
        <f t="shared" si="149"/>
        <v/>
      </c>
      <c r="CC39" s="235" t="str">
        <f t="shared" si="150"/>
        <v/>
      </c>
      <c r="CD39" s="235" t="str">
        <f t="shared" si="151"/>
        <v/>
      </c>
      <c r="CE39" s="235" t="str">
        <f t="shared" si="152"/>
        <v/>
      </c>
      <c r="CF39" s="235" t="str">
        <f t="shared" si="153"/>
        <v/>
      </c>
      <c r="CG39" s="235" t="str">
        <f t="shared" si="154"/>
        <v/>
      </c>
      <c r="CH39" s="235" t="str">
        <f t="shared" si="155"/>
        <v/>
      </c>
      <c r="CI39" s="235" t="str">
        <f t="shared" si="156"/>
        <v/>
      </c>
      <c r="CJ39" s="235" t="str">
        <f t="shared" si="157"/>
        <v/>
      </c>
      <c r="CK39" s="235" t="str">
        <f t="shared" si="158"/>
        <v/>
      </c>
      <c r="CL39" s="235" t="str">
        <f t="shared" si="159"/>
        <v/>
      </c>
      <c r="CM39" s="235" t="str">
        <f t="shared" si="160"/>
        <v/>
      </c>
      <c r="CN39" s="235" t="str">
        <f t="shared" si="161"/>
        <v/>
      </c>
      <c r="CO39" s="235" t="str">
        <f t="shared" si="162"/>
        <v/>
      </c>
      <c r="CP39" s="235" t="str">
        <f t="shared" si="163"/>
        <v/>
      </c>
      <c r="CQ39" s="2">
        <v>10</v>
      </c>
      <c r="CR39" s="207" t="str">
        <f t="shared" si="164"/>
        <v/>
      </c>
      <c r="CS39" s="227" t="str">
        <f t="shared" si="165"/>
        <v/>
      </c>
      <c r="CT39" s="209" t="str">
        <f t="shared" si="188"/>
        <v/>
      </c>
      <c r="CU39" s="227" t="str">
        <f t="shared" si="17"/>
        <v/>
      </c>
      <c r="CV39" s="43">
        <f t="shared" si="189"/>
        <v>0</v>
      </c>
      <c r="CW39" s="209" t="str">
        <f t="shared" si="190"/>
        <v/>
      </c>
      <c r="CX39" s="204" t="str">
        <f t="shared" si="191"/>
        <v/>
      </c>
      <c r="CY39" s="43">
        <f t="shared" si="166"/>
        <v>0</v>
      </c>
      <c r="CZ39" s="44">
        <f t="shared" si="193"/>
        <v>0</v>
      </c>
      <c r="DA39" s="45">
        <f t="shared" si="167"/>
        <v>0</v>
      </c>
      <c r="DB39" s="46">
        <f t="shared" si="18"/>
        <v>0</v>
      </c>
      <c r="DC39" s="47" t="str">
        <f t="shared" si="168"/>
        <v/>
      </c>
      <c r="DD39" s="52">
        <f t="shared" si="19"/>
        <v>0</v>
      </c>
      <c r="DE39" s="52">
        <f t="shared" si="20"/>
        <v>0</v>
      </c>
      <c r="DF39" s="52">
        <f t="shared" si="21"/>
        <v>0</v>
      </c>
      <c r="DG39" s="215">
        <f>IF(DC39="",0,MAX(DD39:DE39:DF39))</f>
        <v>0</v>
      </c>
      <c r="DH39" s="115" t="str">
        <f t="shared" si="22"/>
        <v/>
      </c>
      <c r="DI39" s="51" t="str">
        <f t="shared" si="23"/>
        <v/>
      </c>
      <c r="DJ39" s="51" t="str">
        <f t="shared" si="24"/>
        <v/>
      </c>
      <c r="DK39" s="49" t="str">
        <f t="shared" si="169"/>
        <v/>
      </c>
      <c r="DL39" s="52">
        <f t="shared" si="25"/>
        <v>0</v>
      </c>
      <c r="DM39" s="52">
        <f t="shared" si="26"/>
        <v>0</v>
      </c>
      <c r="DN39" s="52">
        <f t="shared" si="27"/>
        <v>0</v>
      </c>
      <c r="DO39" s="215">
        <f>IF(DK39="",0,MAX(DL39:DM39:DN39))</f>
        <v>0</v>
      </c>
      <c r="DP39" s="115" t="str">
        <f t="shared" si="28"/>
        <v/>
      </c>
      <c r="DQ39" s="51" t="str">
        <f t="shared" si="29"/>
        <v/>
      </c>
      <c r="DR39" s="51" t="str">
        <f t="shared" si="30"/>
        <v/>
      </c>
      <c r="DS39" s="49" t="str">
        <f t="shared" si="170"/>
        <v/>
      </c>
      <c r="DT39" s="52">
        <f t="shared" si="31"/>
        <v>0</v>
      </c>
      <c r="DU39" s="52">
        <f t="shared" si="32"/>
        <v>0</v>
      </c>
      <c r="DV39" s="52">
        <f t="shared" si="33"/>
        <v>0</v>
      </c>
      <c r="DW39" s="215">
        <f>IF(DS39="",0,MAX(DT39:DU39:DV39))</f>
        <v>0</v>
      </c>
      <c r="DX39" s="115" t="str">
        <f t="shared" si="34"/>
        <v/>
      </c>
      <c r="DY39" s="51" t="str">
        <f t="shared" si="35"/>
        <v/>
      </c>
      <c r="DZ39" s="51" t="str">
        <f t="shared" si="36"/>
        <v/>
      </c>
      <c r="EA39" s="49" t="str">
        <f t="shared" si="171"/>
        <v/>
      </c>
      <c r="EB39" s="52">
        <f t="shared" si="37"/>
        <v>0</v>
      </c>
      <c r="EC39" s="52">
        <f t="shared" si="38"/>
        <v>0</v>
      </c>
      <c r="ED39" s="52">
        <f t="shared" si="39"/>
        <v>0</v>
      </c>
      <c r="EE39" s="215">
        <f>IF(EA39="",0,MAX(EB39:EC39:ED39))</f>
        <v>0</v>
      </c>
      <c r="EF39" s="115" t="str">
        <f t="shared" si="40"/>
        <v/>
      </c>
      <c r="EG39" s="51" t="str">
        <f t="shared" si="41"/>
        <v/>
      </c>
      <c r="EH39" s="51" t="str">
        <f t="shared" si="42"/>
        <v/>
      </c>
      <c r="EI39" s="49" t="str">
        <f t="shared" si="172"/>
        <v/>
      </c>
      <c r="EJ39" s="52">
        <f t="shared" si="43"/>
        <v>0</v>
      </c>
      <c r="EK39" s="52">
        <f t="shared" si="44"/>
        <v>0</v>
      </c>
      <c r="EL39" s="52">
        <f t="shared" si="45"/>
        <v>0</v>
      </c>
      <c r="EM39" s="215">
        <f>IF(EI39="",0,MAX(EJ39:EK39:EL39))</f>
        <v>0</v>
      </c>
      <c r="EN39" s="115" t="str">
        <f t="shared" si="46"/>
        <v/>
      </c>
      <c r="EO39" s="51" t="str">
        <f t="shared" si="47"/>
        <v/>
      </c>
      <c r="EP39" s="51" t="str">
        <f t="shared" si="48"/>
        <v/>
      </c>
      <c r="EQ39" s="49" t="str">
        <f t="shared" si="173"/>
        <v/>
      </c>
      <c r="ER39" s="52">
        <f t="shared" si="49"/>
        <v>0</v>
      </c>
      <c r="ES39" s="52">
        <f t="shared" si="50"/>
        <v>0</v>
      </c>
      <c r="ET39" s="52">
        <f t="shared" si="51"/>
        <v>0</v>
      </c>
      <c r="EU39" s="215">
        <f>IF(EQ39="",0,MAX(ER39:ES39:ET39))</f>
        <v>0</v>
      </c>
      <c r="EV39" s="115" t="str">
        <f t="shared" si="52"/>
        <v/>
      </c>
      <c r="EW39" s="51" t="str">
        <f t="shared" si="53"/>
        <v/>
      </c>
      <c r="EX39" s="51" t="str">
        <f t="shared" si="54"/>
        <v/>
      </c>
      <c r="EY39" s="49" t="str">
        <f t="shared" si="174"/>
        <v/>
      </c>
      <c r="EZ39" s="52">
        <f t="shared" si="55"/>
        <v>0</v>
      </c>
      <c r="FA39" s="52">
        <f t="shared" si="56"/>
        <v>0</v>
      </c>
      <c r="FB39" s="52">
        <f t="shared" si="57"/>
        <v>0</v>
      </c>
      <c r="FC39" s="215">
        <f>IF(EY39="",0,MAX(EZ39:FA39:FB39))</f>
        <v>0</v>
      </c>
      <c r="FD39" s="115" t="str">
        <f t="shared" si="58"/>
        <v/>
      </c>
      <c r="FE39" s="51" t="str">
        <f t="shared" si="59"/>
        <v/>
      </c>
      <c r="FF39" s="51" t="str">
        <f t="shared" si="60"/>
        <v/>
      </c>
      <c r="FG39" s="49" t="str">
        <f t="shared" si="175"/>
        <v/>
      </c>
      <c r="FH39" s="52">
        <f t="shared" si="61"/>
        <v>0</v>
      </c>
      <c r="FI39" s="52">
        <f t="shared" si="62"/>
        <v>0</v>
      </c>
      <c r="FJ39" s="52">
        <f t="shared" si="63"/>
        <v>0</v>
      </c>
      <c r="FK39" s="215">
        <f>IF(FG39="",0,MAX(FH39:FI39:FJ39))</f>
        <v>0</v>
      </c>
      <c r="FL39" s="115" t="str">
        <f t="shared" si="64"/>
        <v/>
      </c>
      <c r="FM39" s="51" t="str">
        <f t="shared" si="65"/>
        <v/>
      </c>
      <c r="FN39" s="51" t="str">
        <f t="shared" si="66"/>
        <v/>
      </c>
      <c r="FO39" s="49" t="str">
        <f t="shared" si="176"/>
        <v/>
      </c>
      <c r="FP39" s="52">
        <f t="shared" si="67"/>
        <v>0</v>
      </c>
      <c r="FQ39" s="52">
        <f t="shared" si="68"/>
        <v>0</v>
      </c>
      <c r="FR39" s="52">
        <f t="shared" si="69"/>
        <v>0</v>
      </c>
      <c r="FS39" s="215">
        <f>IF(FO39="",0,MAX(FP39:FQ39:FR39))</f>
        <v>0</v>
      </c>
      <c r="FT39" s="115" t="str">
        <f t="shared" si="70"/>
        <v/>
      </c>
      <c r="FU39" s="51" t="str">
        <f t="shared" si="71"/>
        <v/>
      </c>
      <c r="FV39" s="51" t="str">
        <f t="shared" si="72"/>
        <v/>
      </c>
      <c r="FW39" s="49" t="str">
        <f t="shared" si="177"/>
        <v/>
      </c>
      <c r="FX39" s="52">
        <f t="shared" si="73"/>
        <v>0</v>
      </c>
      <c r="FY39" s="52">
        <f t="shared" si="74"/>
        <v>0</v>
      </c>
      <c r="FZ39" s="52">
        <f t="shared" si="75"/>
        <v>0</v>
      </c>
      <c r="GA39" s="215">
        <f>IF(FW39="",0,MAX(FX39:FY39:FZ39))</f>
        <v>0</v>
      </c>
      <c r="GB39" s="115" t="str">
        <f t="shared" si="76"/>
        <v/>
      </c>
      <c r="GC39" s="51" t="str">
        <f t="shared" si="77"/>
        <v/>
      </c>
      <c r="GD39" s="51" t="str">
        <f t="shared" si="78"/>
        <v/>
      </c>
      <c r="GE39" s="49" t="str">
        <f t="shared" si="178"/>
        <v/>
      </c>
      <c r="GF39" s="52">
        <f t="shared" si="79"/>
        <v>0</v>
      </c>
      <c r="GG39" s="52">
        <f t="shared" si="80"/>
        <v>0</v>
      </c>
      <c r="GH39" s="52">
        <f t="shared" si="81"/>
        <v>0</v>
      </c>
      <c r="GI39" s="215">
        <f>IF(GE39="",0,MAX(GF39:GG39:GH39))</f>
        <v>0</v>
      </c>
      <c r="GJ39" s="115" t="str">
        <f t="shared" si="82"/>
        <v/>
      </c>
      <c r="GK39" s="51" t="str">
        <f t="shared" si="83"/>
        <v/>
      </c>
      <c r="GL39" s="51" t="str">
        <f t="shared" si="84"/>
        <v/>
      </c>
      <c r="GM39" s="49" t="str">
        <f t="shared" si="179"/>
        <v/>
      </c>
      <c r="GN39" s="52">
        <f t="shared" si="85"/>
        <v>0</v>
      </c>
      <c r="GO39" s="52">
        <f t="shared" si="86"/>
        <v>0</v>
      </c>
      <c r="GP39" s="52">
        <f t="shared" si="87"/>
        <v>0</v>
      </c>
      <c r="GQ39" s="215">
        <f>IF(GM39="",0,MAX(GN39:GO39:GP39))</f>
        <v>0</v>
      </c>
      <c r="GR39" s="115" t="str">
        <f t="shared" si="88"/>
        <v/>
      </c>
      <c r="GS39" s="51" t="str">
        <f t="shared" si="89"/>
        <v/>
      </c>
      <c r="GT39" s="51" t="str">
        <f t="shared" si="90"/>
        <v/>
      </c>
      <c r="GU39" s="49" t="str">
        <f t="shared" si="180"/>
        <v/>
      </c>
      <c r="GV39" s="52">
        <f t="shared" si="91"/>
        <v>0</v>
      </c>
      <c r="GW39" s="52">
        <f t="shared" si="92"/>
        <v>0</v>
      </c>
      <c r="GX39" s="52">
        <f t="shared" si="93"/>
        <v>0</v>
      </c>
      <c r="GY39" s="215">
        <f>IF(GU39="",0,MAX(GV39:GW39:GX39))</f>
        <v>0</v>
      </c>
      <c r="GZ39" s="115" t="str">
        <f t="shared" si="94"/>
        <v/>
      </c>
      <c r="HA39" s="51" t="str">
        <f t="shared" si="95"/>
        <v/>
      </c>
      <c r="HB39" s="51" t="str">
        <f t="shared" si="96"/>
        <v/>
      </c>
      <c r="HC39" s="49" t="str">
        <f t="shared" si="181"/>
        <v/>
      </c>
      <c r="HD39" s="52">
        <f t="shared" si="97"/>
        <v>0</v>
      </c>
      <c r="HE39" s="52">
        <f t="shared" si="98"/>
        <v>0</v>
      </c>
      <c r="HF39" s="52">
        <f t="shared" si="99"/>
        <v>0</v>
      </c>
      <c r="HG39" s="215">
        <f>IF(HC39="",0,MAX(HD39:HE39:HF39))</f>
        <v>0</v>
      </c>
      <c r="HH39" s="115" t="str">
        <f t="shared" si="100"/>
        <v/>
      </c>
      <c r="HI39" s="51" t="str">
        <f t="shared" si="101"/>
        <v/>
      </c>
      <c r="HJ39" s="51" t="str">
        <f t="shared" si="102"/>
        <v/>
      </c>
      <c r="HK39" s="49" t="str">
        <f t="shared" si="182"/>
        <v/>
      </c>
      <c r="HL39" s="52">
        <f t="shared" si="103"/>
        <v>0</v>
      </c>
      <c r="HM39" s="52">
        <f t="shared" si="104"/>
        <v>0</v>
      </c>
      <c r="HN39" s="52">
        <f t="shared" si="105"/>
        <v>0</v>
      </c>
      <c r="HO39" s="215">
        <f>IF(HK39="",0,MAX(HL39:HM39:HN39))</f>
        <v>0</v>
      </c>
      <c r="HP39" s="115" t="str">
        <f t="shared" si="106"/>
        <v/>
      </c>
      <c r="HQ39" s="51" t="str">
        <f t="shared" si="107"/>
        <v/>
      </c>
      <c r="HR39" s="51" t="str">
        <f t="shared" si="108"/>
        <v/>
      </c>
      <c r="HS39" s="49" t="str">
        <f t="shared" si="183"/>
        <v/>
      </c>
      <c r="HT39" s="52">
        <f t="shared" si="109"/>
        <v>0</v>
      </c>
      <c r="HU39" s="52">
        <f t="shared" si="110"/>
        <v>0</v>
      </c>
      <c r="HV39" s="52">
        <f t="shared" si="111"/>
        <v>0</v>
      </c>
      <c r="HW39" s="215">
        <f>IF(HS39="",0,MAX(HT39:HU39:HV39))</f>
        <v>0</v>
      </c>
      <c r="HX39" s="115" t="str">
        <f t="shared" si="112"/>
        <v/>
      </c>
      <c r="HY39" s="51" t="str">
        <f t="shared" si="113"/>
        <v/>
      </c>
      <c r="HZ39" s="51" t="str">
        <f t="shared" si="114"/>
        <v/>
      </c>
      <c r="IA39" s="49" t="str">
        <f t="shared" si="184"/>
        <v/>
      </c>
      <c r="IB39" s="52">
        <f t="shared" si="115"/>
        <v>0</v>
      </c>
      <c r="IC39" s="52">
        <f t="shared" si="116"/>
        <v>0</v>
      </c>
      <c r="ID39" s="52">
        <f t="shared" si="117"/>
        <v>0</v>
      </c>
      <c r="IE39" s="215">
        <f>IF(IA39="",0,MAX(IB39:IC39:ID39))</f>
        <v>0</v>
      </c>
      <c r="IF39" s="115" t="str">
        <f t="shared" si="118"/>
        <v/>
      </c>
      <c r="IG39" s="51" t="str">
        <f t="shared" si="119"/>
        <v/>
      </c>
      <c r="IH39" s="51" t="str">
        <f t="shared" si="120"/>
        <v/>
      </c>
      <c r="II39" s="49" t="str">
        <f t="shared" si="185"/>
        <v/>
      </c>
      <c r="IJ39" s="52">
        <f t="shared" si="121"/>
        <v>0</v>
      </c>
      <c r="IK39" s="52">
        <f t="shared" si="122"/>
        <v>0</v>
      </c>
      <c r="IL39" s="52">
        <f t="shared" si="123"/>
        <v>0</v>
      </c>
      <c r="IM39" s="215">
        <f>IF(II39="",0,MAX(IJ39:IK39:IL39))</f>
        <v>0</v>
      </c>
      <c r="IN39" s="115" t="str">
        <f t="shared" si="124"/>
        <v/>
      </c>
      <c r="IO39" s="51" t="str">
        <f t="shared" si="125"/>
        <v/>
      </c>
      <c r="IP39" s="51" t="str">
        <f t="shared" si="126"/>
        <v/>
      </c>
      <c r="IQ39" s="49" t="str">
        <f t="shared" si="186"/>
        <v/>
      </c>
      <c r="IR39" s="52">
        <f t="shared" si="127"/>
        <v>0</v>
      </c>
      <c r="IS39" s="52">
        <f t="shared" si="128"/>
        <v>0</v>
      </c>
      <c r="IT39" s="52">
        <f t="shared" si="129"/>
        <v>0</v>
      </c>
      <c r="IU39" s="215">
        <f>IF(IQ39="",0,MAX(IR39:IS39:IT39))</f>
        <v>0</v>
      </c>
      <c r="IV39" s="1128"/>
    </row>
    <row r="40" spans="1:256" s="16" customFormat="1" ht="18" customHeight="1" thickTop="1" thickBot="1" x14ac:dyDescent="0.35">
      <c r="A40" s="902" t="str">
        <f t="shared" si="130"/>
        <v/>
      </c>
      <c r="B40" s="903"/>
      <c r="C40" s="708"/>
      <c r="D40" s="709" t="str">
        <f t="shared" si="131"/>
        <v/>
      </c>
      <c r="E40" s="843" t="str">
        <f>IF(D40="","",SUM(D$30:D40))</f>
        <v/>
      </c>
      <c r="F40" s="951"/>
      <c r="G40" s="952"/>
      <c r="H40" s="953"/>
      <c r="I40" s="954"/>
      <c r="J40" s="955"/>
      <c r="K40" s="956"/>
      <c r="L40" s="925"/>
      <c r="M40" s="927" t="str">
        <f t="shared" si="132"/>
        <v/>
      </c>
      <c r="N40" s="934" t="str">
        <f>IF(AND(H40="",I40=""),"",IF($D$19="x",1,IF($K$16="",LOOKUP((H40+I40),'Quadro 2 Ordenado'!$B$6:'Quadro 2 Ordenado'!$B$107,'Quadro 2 Ordenado'!$C$6:'Quadro 2 Ordenado'!$C$107),LOOKUP((H40+I40),'Quadro 2 Ordenado'!$B$6:'Quadro 2 Ordenado'!$B$107,'Quadro 2 Ordenado'!$D$6:'Quadro 2 Ordenado'!$D$107))))</f>
        <v/>
      </c>
      <c r="O40" s="50"/>
      <c r="P40" s="928" t="str">
        <f t="shared" si="133"/>
        <v/>
      </c>
      <c r="S40" s="935" t="str">
        <f t="shared" si="5"/>
        <v/>
      </c>
      <c r="T40" s="111" t="str">
        <f t="shared" si="6"/>
        <v/>
      </c>
      <c r="U40" s="926"/>
      <c r="V40" s="610" t="str">
        <f t="shared" si="192"/>
        <v/>
      </c>
      <c r="W40" s="936" t="str">
        <f>IF(OR(T40="",T40=0),"",IF($V40&gt;'Quadro 3'!$F$23,'Quadro 3'!$F$23,IF($V40&lt;'Quadro 3'!$F$10,'Quadro 3'!$F$10,MIN($X40,$Y40))))</f>
        <v/>
      </c>
      <c r="X40" s="937" t="str">
        <f>IF($V40&lt;='Quadro 3'!$F$10,'Quadro 3'!$F$10,IF($V40&lt;='Quadro 3'!$F$11,'Quadro 3'!$F$11,IF($V40&lt;='Quadro 3'!$F$12,'Quadro 3'!$F$12,IF($V40&lt;='Quadro 3'!$F$13,'Quadro 3'!$F$13,IF($V40&lt;='Quadro 3'!$F$14,'Quadro 3'!$F$14,IF($V40&lt;='Quadro 3'!$F$15,'Quadro 3'!$F$15,IF($V40&lt;='Quadro 3'!$F$16,'Quadro 3'!$F$16,"")))))))</f>
        <v/>
      </c>
      <c r="Y40" s="938" t="str">
        <f>IF(OR(T40="",T40=0),"",IF($V40&lt;='Quadro 3'!$F$17,'Quadro 3'!$F$17,IF($V40&lt;='Quadro 3'!$F$18,'Quadro 3'!$F$18,IF($V40&lt;='Quadro 3'!$F$19,'Quadro 3'!$F$19,IF($V40&lt;='Quadro 3'!$F$20,'Quadro 3'!$F$20,IF($V40&lt;='Quadro 3'!$F$21,'Quadro 3'!$F$21,IF($V40&lt;='Quadro 3'!$F$22,'Quadro 3'!$F$22,IF($V40&lt;='Quadro 3'!$F$23,'Quadro 3'!$F$23,'Quadro 3'!$F$23))))))))</f>
        <v/>
      </c>
      <c r="Z40" s="936" t="str">
        <f>IF($W40="","",LOOKUP($W40,'Quadro 3'!$F$9:$F$23,'Quadro 3'!$G$9:$G$23))</f>
        <v/>
      </c>
      <c r="AA40" s="1129" t="str">
        <f>IF($W40="","",LOOKUP($W40,'Quadro 3'!$F$9:$F$23,'Quadro 3'!$D$9:$D$23))</f>
        <v/>
      </c>
      <c r="AB40" s="939" t="str">
        <f>IF($W40="","",LOOKUP($W40,'Quadro 3'!$F$9:$F$23,'Quadro 3'!$E$9:$E$23))</f>
        <v/>
      </c>
      <c r="AC40" s="929" t="str">
        <f t="shared" si="7"/>
        <v/>
      </c>
      <c r="AD40" s="1151" t="str">
        <f t="shared" si="134"/>
        <v/>
      </c>
      <c r="AE40" s="1152"/>
      <c r="AF40" s="1121" t="str">
        <f t="shared" si="8"/>
        <v/>
      </c>
      <c r="AG40" s="1123" t="str">
        <f t="shared" si="135"/>
        <v/>
      </c>
      <c r="AH40" s="931" t="str">
        <f t="shared" si="9"/>
        <v/>
      </c>
      <c r="AI40" s="932" t="str">
        <f t="shared" si="10"/>
        <v/>
      </c>
      <c r="AJ40" s="1153" t="str">
        <f t="shared" si="11"/>
        <v/>
      </c>
      <c r="AK40" s="1154"/>
      <c r="AL40" s="933" t="str">
        <f t="shared" si="136"/>
        <v/>
      </c>
      <c r="AM40" s="1138" t="str">
        <f t="shared" si="12"/>
        <v/>
      </c>
      <c r="AN40" s="1139"/>
      <c r="AO40" s="1140"/>
      <c r="AQ40" s="1126"/>
      <c r="AU40" s="1116">
        <f t="shared" si="187"/>
        <v>0</v>
      </c>
      <c r="AV40" s="350" t="str">
        <f t="shared" si="137"/>
        <v/>
      </c>
      <c r="AW40" s="241">
        <f t="shared" si="13"/>
        <v>0</v>
      </c>
      <c r="AX40" s="241" t="str">
        <f t="shared" si="14"/>
        <v/>
      </c>
      <c r="AY40" s="241" t="str">
        <f t="shared" si="15"/>
        <v/>
      </c>
      <c r="AZ40" s="241" t="str">
        <f t="shared" si="16"/>
        <v/>
      </c>
      <c r="BA40" s="2"/>
      <c r="BB40" s="2"/>
      <c r="BC40" s="2"/>
      <c r="BD40" s="2"/>
      <c r="BE40" s="2"/>
      <c r="BF40" s="2"/>
      <c r="BG40" s="2"/>
      <c r="BH40" s="2"/>
      <c r="BI40" s="350" t="str">
        <f t="shared" si="138"/>
        <v>0</v>
      </c>
      <c r="BJ40" s="350">
        <f t="shared" si="139"/>
        <v>0</v>
      </c>
      <c r="BK40" s="911" t="str">
        <f t="shared" si="140"/>
        <v>NA</v>
      </c>
      <c r="BL40" s="911" t="str">
        <f t="shared" si="141"/>
        <v/>
      </c>
      <c r="BM40" s="911" t="str">
        <f t="shared" si="142"/>
        <v/>
      </c>
      <c r="BN40" s="2"/>
      <c r="BO40" s="2"/>
      <c r="BP40" s="2"/>
      <c r="BQ40" s="2"/>
      <c r="BR40" s="2"/>
      <c r="BS40" s="2"/>
      <c r="BT40" s="2"/>
      <c r="BU40" s="2"/>
      <c r="BV40" s="350" t="str">
        <f t="shared" si="143"/>
        <v/>
      </c>
      <c r="BW40" s="235" t="str">
        <f t="shared" si="144"/>
        <v/>
      </c>
      <c r="BX40" s="235" t="str">
        <f t="shared" si="145"/>
        <v/>
      </c>
      <c r="BY40" s="235" t="str">
        <f t="shared" si="146"/>
        <v/>
      </c>
      <c r="BZ40" s="235" t="str">
        <f t="shared" si="147"/>
        <v/>
      </c>
      <c r="CA40" s="235" t="str">
        <f t="shared" si="148"/>
        <v/>
      </c>
      <c r="CB40" s="235" t="str">
        <f t="shared" si="149"/>
        <v/>
      </c>
      <c r="CC40" s="235" t="str">
        <f t="shared" si="150"/>
        <v/>
      </c>
      <c r="CD40" s="235" t="str">
        <f t="shared" si="151"/>
        <v/>
      </c>
      <c r="CE40" s="235" t="str">
        <f t="shared" si="152"/>
        <v/>
      </c>
      <c r="CF40" s="235" t="str">
        <f t="shared" si="153"/>
        <v/>
      </c>
      <c r="CG40" s="235" t="str">
        <f t="shared" si="154"/>
        <v/>
      </c>
      <c r="CH40" s="235" t="str">
        <f t="shared" si="155"/>
        <v/>
      </c>
      <c r="CI40" s="235" t="str">
        <f t="shared" si="156"/>
        <v/>
      </c>
      <c r="CJ40" s="235" t="str">
        <f t="shared" si="157"/>
        <v/>
      </c>
      <c r="CK40" s="235" t="str">
        <f t="shared" si="158"/>
        <v/>
      </c>
      <c r="CL40" s="235" t="str">
        <f t="shared" si="159"/>
        <v/>
      </c>
      <c r="CM40" s="235" t="str">
        <f t="shared" si="160"/>
        <v/>
      </c>
      <c r="CN40" s="235" t="str">
        <f t="shared" si="161"/>
        <v/>
      </c>
      <c r="CO40" s="235" t="str">
        <f t="shared" si="162"/>
        <v/>
      </c>
      <c r="CP40" s="235" t="str">
        <f t="shared" si="163"/>
        <v/>
      </c>
      <c r="CQ40" s="2">
        <v>11</v>
      </c>
      <c r="CR40" s="207" t="str">
        <f t="shared" si="164"/>
        <v/>
      </c>
      <c r="CS40" s="227" t="str">
        <f t="shared" si="165"/>
        <v/>
      </c>
      <c r="CT40" s="209" t="str">
        <f t="shared" si="188"/>
        <v/>
      </c>
      <c r="CU40" s="227" t="str">
        <f t="shared" si="17"/>
        <v/>
      </c>
      <c r="CV40" s="43">
        <f t="shared" si="189"/>
        <v>0</v>
      </c>
      <c r="CW40" s="209" t="str">
        <f t="shared" si="190"/>
        <v/>
      </c>
      <c r="CX40" s="204" t="str">
        <f t="shared" si="191"/>
        <v/>
      </c>
      <c r="CY40" s="43">
        <f t="shared" si="166"/>
        <v>0</v>
      </c>
      <c r="CZ40" s="44">
        <f t="shared" si="193"/>
        <v>0</v>
      </c>
      <c r="DA40" s="45">
        <f t="shared" si="167"/>
        <v>0</v>
      </c>
      <c r="DB40" s="46">
        <f t="shared" si="18"/>
        <v>0</v>
      </c>
      <c r="DC40" s="47" t="str">
        <f>IF(G40="","",F40)</f>
        <v/>
      </c>
      <c r="DD40" s="52">
        <f t="shared" si="19"/>
        <v>0</v>
      </c>
      <c r="DE40" s="52">
        <f t="shared" si="20"/>
        <v>0</v>
      </c>
      <c r="DF40" s="52">
        <f t="shared" si="21"/>
        <v>0</v>
      </c>
      <c r="DG40" s="215">
        <f>IF(DC40="",0,MAX(DD40:DE40:DF40))</f>
        <v>0</v>
      </c>
      <c r="DH40" s="115" t="str">
        <f t="shared" si="22"/>
        <v/>
      </c>
      <c r="DI40" s="51" t="str">
        <f t="shared" si="23"/>
        <v/>
      </c>
      <c r="DJ40" s="51" t="str">
        <f t="shared" si="24"/>
        <v/>
      </c>
      <c r="DK40" s="49" t="str">
        <f t="shared" si="169"/>
        <v/>
      </c>
      <c r="DL40" s="52">
        <f t="shared" si="25"/>
        <v>0</v>
      </c>
      <c r="DM40" s="52">
        <f t="shared" si="26"/>
        <v>0</v>
      </c>
      <c r="DN40" s="52">
        <f t="shared" si="27"/>
        <v>0</v>
      </c>
      <c r="DO40" s="215">
        <f>IF(DK40="",0,MAX(DL40:DM40:DN40))</f>
        <v>0</v>
      </c>
      <c r="DP40" s="115" t="str">
        <f t="shared" si="28"/>
        <v/>
      </c>
      <c r="DQ40" s="51" t="str">
        <f t="shared" si="29"/>
        <v/>
      </c>
      <c r="DR40" s="51" t="str">
        <f t="shared" si="30"/>
        <v/>
      </c>
      <c r="DS40" s="49" t="str">
        <f t="shared" si="170"/>
        <v/>
      </c>
      <c r="DT40" s="52">
        <f t="shared" si="31"/>
        <v>0</v>
      </c>
      <c r="DU40" s="52">
        <f t="shared" si="32"/>
        <v>0</v>
      </c>
      <c r="DV40" s="52">
        <f t="shared" si="33"/>
        <v>0</v>
      </c>
      <c r="DW40" s="215">
        <f>IF(DS40="",0,MAX(DT40:DU40:DV40))</f>
        <v>0</v>
      </c>
      <c r="DX40" s="115" t="str">
        <f t="shared" si="34"/>
        <v/>
      </c>
      <c r="DY40" s="51" t="str">
        <f t="shared" si="35"/>
        <v/>
      </c>
      <c r="DZ40" s="51" t="str">
        <f t="shared" si="36"/>
        <v/>
      </c>
      <c r="EA40" s="49" t="str">
        <f t="shared" si="171"/>
        <v/>
      </c>
      <c r="EB40" s="52">
        <f t="shared" si="37"/>
        <v>0</v>
      </c>
      <c r="EC40" s="52">
        <f t="shared" si="38"/>
        <v>0</v>
      </c>
      <c r="ED40" s="52">
        <f t="shared" si="39"/>
        <v>0</v>
      </c>
      <c r="EE40" s="215">
        <f>IF(EA40="",0,MAX(EB40:EC40:ED40))</f>
        <v>0</v>
      </c>
      <c r="EF40" s="115" t="str">
        <f t="shared" si="40"/>
        <v/>
      </c>
      <c r="EG40" s="51" t="str">
        <f t="shared" si="41"/>
        <v/>
      </c>
      <c r="EH40" s="51" t="str">
        <f t="shared" si="42"/>
        <v/>
      </c>
      <c r="EI40" s="49" t="str">
        <f t="shared" si="172"/>
        <v/>
      </c>
      <c r="EJ40" s="52">
        <f t="shared" si="43"/>
        <v>0</v>
      </c>
      <c r="EK40" s="52">
        <f t="shared" si="44"/>
        <v>0</v>
      </c>
      <c r="EL40" s="52">
        <f t="shared" si="45"/>
        <v>0</v>
      </c>
      <c r="EM40" s="215">
        <f>IF(EI40="",0,MAX(EJ40:EK40:EL40))</f>
        <v>0</v>
      </c>
      <c r="EN40" s="115" t="str">
        <f t="shared" si="46"/>
        <v/>
      </c>
      <c r="EO40" s="51" t="str">
        <f t="shared" si="47"/>
        <v/>
      </c>
      <c r="EP40" s="51" t="str">
        <f t="shared" si="48"/>
        <v/>
      </c>
      <c r="EQ40" s="49" t="str">
        <f t="shared" si="173"/>
        <v/>
      </c>
      <c r="ER40" s="52">
        <f t="shared" si="49"/>
        <v>0</v>
      </c>
      <c r="ES40" s="52">
        <f t="shared" si="50"/>
        <v>0</v>
      </c>
      <c r="ET40" s="52">
        <f t="shared" si="51"/>
        <v>0</v>
      </c>
      <c r="EU40" s="215">
        <f>IF(EQ40="",0,MAX(ER40:ES40:ET40))</f>
        <v>0</v>
      </c>
      <c r="EV40" s="115" t="str">
        <f t="shared" si="52"/>
        <v/>
      </c>
      <c r="EW40" s="51" t="str">
        <f t="shared" si="53"/>
        <v/>
      </c>
      <c r="EX40" s="51" t="str">
        <f t="shared" si="54"/>
        <v/>
      </c>
      <c r="EY40" s="49" t="str">
        <f t="shared" si="174"/>
        <v/>
      </c>
      <c r="EZ40" s="52">
        <f t="shared" si="55"/>
        <v>0</v>
      </c>
      <c r="FA40" s="52">
        <f t="shared" si="56"/>
        <v>0</v>
      </c>
      <c r="FB40" s="52">
        <f t="shared" si="57"/>
        <v>0</v>
      </c>
      <c r="FC40" s="215">
        <f>IF(EY40="",0,MAX(EZ40:FA40:FB40))</f>
        <v>0</v>
      </c>
      <c r="FD40" s="115" t="str">
        <f t="shared" si="58"/>
        <v/>
      </c>
      <c r="FE40" s="51" t="str">
        <f t="shared" si="59"/>
        <v/>
      </c>
      <c r="FF40" s="51" t="str">
        <f t="shared" si="60"/>
        <v/>
      </c>
      <c r="FG40" s="49" t="str">
        <f t="shared" si="175"/>
        <v/>
      </c>
      <c r="FH40" s="52">
        <f t="shared" si="61"/>
        <v>0</v>
      </c>
      <c r="FI40" s="52">
        <f t="shared" si="62"/>
        <v>0</v>
      </c>
      <c r="FJ40" s="52">
        <f t="shared" si="63"/>
        <v>0</v>
      </c>
      <c r="FK40" s="215">
        <f>IF(FG40="",0,MAX(FH40:FI40:FJ40))</f>
        <v>0</v>
      </c>
      <c r="FL40" s="115" t="str">
        <f t="shared" si="64"/>
        <v/>
      </c>
      <c r="FM40" s="51" t="str">
        <f t="shared" si="65"/>
        <v/>
      </c>
      <c r="FN40" s="51" t="str">
        <f t="shared" si="66"/>
        <v/>
      </c>
      <c r="FO40" s="49" t="str">
        <f t="shared" si="176"/>
        <v/>
      </c>
      <c r="FP40" s="52">
        <f t="shared" si="67"/>
        <v>0</v>
      </c>
      <c r="FQ40" s="52">
        <f t="shared" si="68"/>
        <v>0</v>
      </c>
      <c r="FR40" s="52">
        <f t="shared" si="69"/>
        <v>0</v>
      </c>
      <c r="FS40" s="215">
        <f>IF(FO40="",0,MAX(FP40:FQ40:FR40))</f>
        <v>0</v>
      </c>
      <c r="FT40" s="115" t="str">
        <f t="shared" si="70"/>
        <v/>
      </c>
      <c r="FU40" s="51" t="str">
        <f t="shared" si="71"/>
        <v/>
      </c>
      <c r="FV40" s="51" t="str">
        <f t="shared" si="72"/>
        <v/>
      </c>
      <c r="FW40" s="49" t="str">
        <f t="shared" si="177"/>
        <v/>
      </c>
      <c r="FX40" s="52">
        <f t="shared" si="73"/>
        <v>0</v>
      </c>
      <c r="FY40" s="52">
        <f t="shared" si="74"/>
        <v>0</v>
      </c>
      <c r="FZ40" s="52">
        <f t="shared" si="75"/>
        <v>0</v>
      </c>
      <c r="GA40" s="215">
        <f>IF(FW40="",0,MAX(FX40:FY40:FZ40))</f>
        <v>0</v>
      </c>
      <c r="GB40" s="115" t="str">
        <f t="shared" si="76"/>
        <v/>
      </c>
      <c r="GC40" s="51" t="str">
        <f t="shared" si="77"/>
        <v/>
      </c>
      <c r="GD40" s="51" t="str">
        <f t="shared" si="78"/>
        <v/>
      </c>
      <c r="GE40" s="49" t="str">
        <f t="shared" si="178"/>
        <v/>
      </c>
      <c r="GF40" s="52">
        <f t="shared" si="79"/>
        <v>0</v>
      </c>
      <c r="GG40" s="52">
        <f t="shared" si="80"/>
        <v>0</v>
      </c>
      <c r="GH40" s="52">
        <f t="shared" si="81"/>
        <v>0</v>
      </c>
      <c r="GI40" s="215">
        <f>IF(GE40="",0,MAX(GF40:GG40:GH40))</f>
        <v>0</v>
      </c>
      <c r="GJ40" s="115" t="str">
        <f t="shared" si="82"/>
        <v/>
      </c>
      <c r="GK40" s="51" t="str">
        <f t="shared" si="83"/>
        <v/>
      </c>
      <c r="GL40" s="51" t="str">
        <f t="shared" si="84"/>
        <v/>
      </c>
      <c r="GM40" s="49" t="str">
        <f t="shared" si="179"/>
        <v/>
      </c>
      <c r="GN40" s="52">
        <f t="shared" si="85"/>
        <v>0</v>
      </c>
      <c r="GO40" s="52">
        <f t="shared" si="86"/>
        <v>0</v>
      </c>
      <c r="GP40" s="52">
        <f t="shared" si="87"/>
        <v>0</v>
      </c>
      <c r="GQ40" s="215">
        <f>IF(GM40="",0,MAX(GN40:GO40:GP40))</f>
        <v>0</v>
      </c>
      <c r="GR40" s="115" t="str">
        <f t="shared" si="88"/>
        <v/>
      </c>
      <c r="GS40" s="51" t="str">
        <f t="shared" si="89"/>
        <v/>
      </c>
      <c r="GT40" s="51" t="str">
        <f t="shared" si="90"/>
        <v/>
      </c>
      <c r="GU40" s="49" t="str">
        <f t="shared" si="180"/>
        <v/>
      </c>
      <c r="GV40" s="52">
        <f t="shared" si="91"/>
        <v>0</v>
      </c>
      <c r="GW40" s="52">
        <f t="shared" si="92"/>
        <v>0</v>
      </c>
      <c r="GX40" s="52">
        <f t="shared" si="93"/>
        <v>0</v>
      </c>
      <c r="GY40" s="215">
        <f>IF(GU40="",0,MAX(GV40:GW40:GX40))</f>
        <v>0</v>
      </c>
      <c r="GZ40" s="115" t="str">
        <f t="shared" si="94"/>
        <v/>
      </c>
      <c r="HA40" s="51" t="str">
        <f t="shared" si="95"/>
        <v/>
      </c>
      <c r="HB40" s="51" t="str">
        <f t="shared" si="96"/>
        <v/>
      </c>
      <c r="HC40" s="49" t="str">
        <f t="shared" si="181"/>
        <v/>
      </c>
      <c r="HD40" s="52">
        <f t="shared" si="97"/>
        <v>0</v>
      </c>
      <c r="HE40" s="52">
        <f t="shared" si="98"/>
        <v>0</v>
      </c>
      <c r="HF40" s="52">
        <f t="shared" si="99"/>
        <v>0</v>
      </c>
      <c r="HG40" s="215">
        <f>IF(HC40="",0,MAX(HD40:HE40:HF40))</f>
        <v>0</v>
      </c>
      <c r="HH40" s="115" t="str">
        <f t="shared" si="100"/>
        <v/>
      </c>
      <c r="HI40" s="51" t="str">
        <f t="shared" si="101"/>
        <v/>
      </c>
      <c r="HJ40" s="51" t="str">
        <f t="shared" si="102"/>
        <v/>
      </c>
      <c r="HK40" s="49" t="str">
        <f t="shared" si="182"/>
        <v/>
      </c>
      <c r="HL40" s="52">
        <f t="shared" si="103"/>
        <v>0</v>
      </c>
      <c r="HM40" s="52">
        <f t="shared" si="104"/>
        <v>0</v>
      </c>
      <c r="HN40" s="52">
        <f t="shared" si="105"/>
        <v>0</v>
      </c>
      <c r="HO40" s="215">
        <f>IF(HK40="",0,MAX(HL40:HM40:HN40))</f>
        <v>0</v>
      </c>
      <c r="HP40" s="115" t="str">
        <f t="shared" si="106"/>
        <v/>
      </c>
      <c r="HQ40" s="51" t="str">
        <f t="shared" si="107"/>
        <v/>
      </c>
      <c r="HR40" s="51" t="str">
        <f t="shared" si="108"/>
        <v/>
      </c>
      <c r="HS40" s="49" t="str">
        <f t="shared" si="183"/>
        <v/>
      </c>
      <c r="HT40" s="52">
        <f t="shared" si="109"/>
        <v>0</v>
      </c>
      <c r="HU40" s="52">
        <f t="shared" si="110"/>
        <v>0</v>
      </c>
      <c r="HV40" s="52">
        <f t="shared" si="111"/>
        <v>0</v>
      </c>
      <c r="HW40" s="215">
        <f>IF(HS40="",0,MAX(HT40:HU40:HV40))</f>
        <v>0</v>
      </c>
      <c r="HX40" s="115" t="str">
        <f t="shared" si="112"/>
        <v/>
      </c>
      <c r="HY40" s="51" t="str">
        <f t="shared" si="113"/>
        <v/>
      </c>
      <c r="HZ40" s="51" t="str">
        <f t="shared" si="114"/>
        <v/>
      </c>
      <c r="IA40" s="49" t="str">
        <f t="shared" si="184"/>
        <v/>
      </c>
      <c r="IB40" s="52">
        <f t="shared" si="115"/>
        <v>0</v>
      </c>
      <c r="IC40" s="52">
        <f t="shared" si="116"/>
        <v>0</v>
      </c>
      <c r="ID40" s="52">
        <f t="shared" si="117"/>
        <v>0</v>
      </c>
      <c r="IE40" s="215">
        <f>IF(IA40="",0,MAX(IB40:IC40:ID40))</f>
        <v>0</v>
      </c>
      <c r="IF40" s="115" t="str">
        <f t="shared" si="118"/>
        <v/>
      </c>
      <c r="IG40" s="51" t="str">
        <f t="shared" si="119"/>
        <v/>
      </c>
      <c r="IH40" s="51" t="str">
        <f t="shared" si="120"/>
        <v/>
      </c>
      <c r="II40" s="49" t="str">
        <f t="shared" si="185"/>
        <v/>
      </c>
      <c r="IJ40" s="52">
        <f t="shared" si="121"/>
        <v>0</v>
      </c>
      <c r="IK40" s="52">
        <f t="shared" si="122"/>
        <v>0</v>
      </c>
      <c r="IL40" s="52">
        <f t="shared" si="123"/>
        <v>0</v>
      </c>
      <c r="IM40" s="215">
        <f>IF(II40="",0,MAX(IJ40:IK40:IL40))</f>
        <v>0</v>
      </c>
      <c r="IN40" s="115" t="str">
        <f t="shared" si="124"/>
        <v/>
      </c>
      <c r="IO40" s="51" t="str">
        <f t="shared" si="125"/>
        <v/>
      </c>
      <c r="IP40" s="51" t="str">
        <f t="shared" si="126"/>
        <v/>
      </c>
      <c r="IQ40" s="49" t="str">
        <f t="shared" si="186"/>
        <v/>
      </c>
      <c r="IR40" s="52">
        <f t="shared" si="127"/>
        <v>0</v>
      </c>
      <c r="IS40" s="52">
        <f t="shared" si="128"/>
        <v>0</v>
      </c>
      <c r="IT40" s="52">
        <f t="shared" si="129"/>
        <v>0</v>
      </c>
      <c r="IU40" s="215">
        <f>IF(IQ40="",0,MAX(IR40:IS40:IT40))</f>
        <v>0</v>
      </c>
    </row>
    <row r="41" spans="1:256" s="16" customFormat="1" ht="18" customHeight="1" thickTop="1" thickBot="1" x14ac:dyDescent="0.35">
      <c r="A41" s="902" t="str">
        <f t="shared" si="130"/>
        <v/>
      </c>
      <c r="B41" s="903"/>
      <c r="C41" s="708"/>
      <c r="D41" s="709" t="str">
        <f t="shared" si="131"/>
        <v/>
      </c>
      <c r="E41" s="843" t="str">
        <f>IF(D41="","",SUM(D$30:D41))</f>
        <v/>
      </c>
      <c r="F41" s="951"/>
      <c r="G41" s="952"/>
      <c r="H41" s="953"/>
      <c r="I41" s="954"/>
      <c r="J41" s="955"/>
      <c r="K41" s="956"/>
      <c r="L41" s="925"/>
      <c r="M41" s="927" t="str">
        <f t="shared" si="132"/>
        <v/>
      </c>
      <c r="N41" s="934" t="str">
        <f>IF(AND(H41="",I41=""),"",IF($D$19="x",1,IF($K$16="",LOOKUP((H41+I41),'Quadro 2 Ordenado'!$B$6:'Quadro 2 Ordenado'!$B$107,'Quadro 2 Ordenado'!$C$6:'Quadro 2 Ordenado'!$C$107),LOOKUP((H41+I41),'Quadro 2 Ordenado'!$B$6:'Quadro 2 Ordenado'!$B$107,'Quadro 2 Ordenado'!$D$6:'Quadro 2 Ordenado'!$D$107))))</f>
        <v/>
      </c>
      <c r="O41" s="50"/>
      <c r="P41" s="928" t="str">
        <f t="shared" si="133"/>
        <v/>
      </c>
      <c r="S41" s="935" t="str">
        <f t="shared" si="5"/>
        <v/>
      </c>
      <c r="T41" s="111" t="str">
        <f t="shared" si="6"/>
        <v/>
      </c>
      <c r="U41" s="926"/>
      <c r="V41" s="610" t="str">
        <f t="shared" si="192"/>
        <v/>
      </c>
      <c r="W41" s="936" t="str">
        <f>IF(OR(T41="",T41=0),"",IF($V41&gt;'Quadro 3'!$F$23,'Quadro 3'!$F$23,IF($V41&lt;'Quadro 3'!$F$10,'Quadro 3'!$F$10,MIN($X41,$Y41))))</f>
        <v/>
      </c>
      <c r="X41" s="937" t="str">
        <f>IF($V41&lt;='Quadro 3'!$F$10,'Quadro 3'!$F$10,IF($V41&lt;='Quadro 3'!$F$11,'Quadro 3'!$F$11,IF($V41&lt;='Quadro 3'!$F$12,'Quadro 3'!$F$12,IF($V41&lt;='Quadro 3'!$F$13,'Quadro 3'!$F$13,IF($V41&lt;='Quadro 3'!$F$14,'Quadro 3'!$F$14,IF($V41&lt;='Quadro 3'!$F$15,'Quadro 3'!$F$15,IF($V41&lt;='Quadro 3'!$F$16,'Quadro 3'!$F$16,"")))))))</f>
        <v/>
      </c>
      <c r="Y41" s="938" t="str">
        <f>IF(OR(T41="",T41=0),"",IF($V41&lt;='Quadro 3'!$F$17,'Quadro 3'!$F$17,IF($V41&lt;='Quadro 3'!$F$18,'Quadro 3'!$F$18,IF($V41&lt;='Quadro 3'!$F$19,'Quadro 3'!$F$19,IF($V41&lt;='Quadro 3'!$F$20,'Quadro 3'!$F$20,IF($V41&lt;='Quadro 3'!$F$21,'Quadro 3'!$F$21,IF($V41&lt;='Quadro 3'!$F$22,'Quadro 3'!$F$22,IF($V41&lt;='Quadro 3'!$F$23,'Quadro 3'!$F$23,'Quadro 3'!$F$23))))))))</f>
        <v/>
      </c>
      <c r="Z41" s="936" t="str">
        <f>IF($W41="","",LOOKUP($W41,'Quadro 3'!$F$9:$F$23,'Quadro 3'!$G$9:$G$23))</f>
        <v/>
      </c>
      <c r="AA41" s="1129" t="str">
        <f>IF($W41="","",LOOKUP($W41,'Quadro 3'!$F$9:$F$23,'Quadro 3'!$D$9:$D$23))</f>
        <v/>
      </c>
      <c r="AB41" s="939" t="str">
        <f>IF($W41="","",LOOKUP($W41,'Quadro 3'!$F$9:$F$23,'Quadro 3'!$E$9:$E$23))</f>
        <v/>
      </c>
      <c r="AC41" s="929" t="str">
        <f t="shared" si="7"/>
        <v/>
      </c>
      <c r="AD41" s="1151" t="str">
        <f t="shared" si="134"/>
        <v/>
      </c>
      <c r="AE41" s="1152"/>
      <c r="AF41" s="1121" t="str">
        <f t="shared" si="8"/>
        <v/>
      </c>
      <c r="AG41" s="1123" t="str">
        <f t="shared" si="135"/>
        <v/>
      </c>
      <c r="AH41" s="931" t="str">
        <f t="shared" si="9"/>
        <v/>
      </c>
      <c r="AI41" s="932" t="str">
        <f t="shared" si="10"/>
        <v/>
      </c>
      <c r="AJ41" s="1153" t="str">
        <f t="shared" si="11"/>
        <v/>
      </c>
      <c r="AK41" s="1154"/>
      <c r="AL41" s="933" t="str">
        <f t="shared" si="136"/>
        <v/>
      </c>
      <c r="AM41" s="1138" t="str">
        <f t="shared" si="12"/>
        <v/>
      </c>
      <c r="AN41" s="1139"/>
      <c r="AO41" s="1140"/>
      <c r="AQ41" s="1126"/>
      <c r="AU41" s="1116">
        <f t="shared" si="187"/>
        <v>0</v>
      </c>
      <c r="AV41" s="350" t="str">
        <f t="shared" si="137"/>
        <v/>
      </c>
      <c r="AW41" s="241">
        <f t="shared" si="13"/>
        <v>0</v>
      </c>
      <c r="AX41" s="241" t="str">
        <f t="shared" si="14"/>
        <v/>
      </c>
      <c r="AY41" s="241" t="str">
        <f t="shared" si="15"/>
        <v/>
      </c>
      <c r="AZ41" s="241" t="str">
        <f t="shared" si="16"/>
        <v/>
      </c>
      <c r="BA41" s="2"/>
      <c r="BB41" s="2"/>
      <c r="BC41" s="2"/>
      <c r="BD41" s="2"/>
      <c r="BE41" s="2"/>
      <c r="BF41" s="2"/>
      <c r="BG41" s="2"/>
      <c r="BH41" s="2"/>
      <c r="BI41" s="350" t="str">
        <f t="shared" si="138"/>
        <v>0</v>
      </c>
      <c r="BJ41" s="350">
        <f t="shared" si="139"/>
        <v>0</v>
      </c>
      <c r="BK41" s="911" t="str">
        <f t="shared" si="140"/>
        <v>NA</v>
      </c>
      <c r="BL41" s="911" t="str">
        <f t="shared" si="141"/>
        <v/>
      </c>
      <c r="BM41" s="911" t="str">
        <f t="shared" si="142"/>
        <v/>
      </c>
      <c r="BN41" s="2"/>
      <c r="BO41" s="2"/>
      <c r="BP41" s="2"/>
      <c r="BQ41" s="2"/>
      <c r="BR41" s="2"/>
      <c r="BS41" s="2"/>
      <c r="BT41" s="2"/>
      <c r="BU41" s="2"/>
      <c r="BV41" s="350" t="str">
        <f t="shared" si="143"/>
        <v/>
      </c>
      <c r="BW41" s="235" t="str">
        <f t="shared" si="144"/>
        <v/>
      </c>
      <c r="BX41" s="235" t="str">
        <f t="shared" si="145"/>
        <v/>
      </c>
      <c r="BY41" s="235" t="str">
        <f t="shared" si="146"/>
        <v/>
      </c>
      <c r="BZ41" s="235" t="str">
        <f t="shared" si="147"/>
        <v/>
      </c>
      <c r="CA41" s="235" t="str">
        <f t="shared" si="148"/>
        <v/>
      </c>
      <c r="CB41" s="235" t="str">
        <f t="shared" si="149"/>
        <v/>
      </c>
      <c r="CC41" s="235" t="str">
        <f t="shared" si="150"/>
        <v/>
      </c>
      <c r="CD41" s="235" t="str">
        <f t="shared" si="151"/>
        <v/>
      </c>
      <c r="CE41" s="235" t="str">
        <f t="shared" si="152"/>
        <v/>
      </c>
      <c r="CF41" s="235" t="str">
        <f t="shared" si="153"/>
        <v/>
      </c>
      <c r="CG41" s="235" t="str">
        <f t="shared" si="154"/>
        <v/>
      </c>
      <c r="CH41" s="235" t="str">
        <f t="shared" si="155"/>
        <v/>
      </c>
      <c r="CI41" s="235" t="str">
        <f t="shared" si="156"/>
        <v/>
      </c>
      <c r="CJ41" s="235" t="str">
        <f t="shared" si="157"/>
        <v/>
      </c>
      <c r="CK41" s="235" t="str">
        <f t="shared" si="158"/>
        <v/>
      </c>
      <c r="CL41" s="235" t="str">
        <f t="shared" si="159"/>
        <v/>
      </c>
      <c r="CM41" s="235" t="str">
        <f t="shared" si="160"/>
        <v/>
      </c>
      <c r="CN41" s="235" t="str">
        <f t="shared" si="161"/>
        <v/>
      </c>
      <c r="CO41" s="235" t="str">
        <f t="shared" si="162"/>
        <v/>
      </c>
      <c r="CP41" s="235" t="str">
        <f t="shared" si="163"/>
        <v/>
      </c>
      <c r="CQ41" s="2">
        <v>12</v>
      </c>
      <c r="CR41" s="207" t="str">
        <f t="shared" si="164"/>
        <v/>
      </c>
      <c r="CS41" s="227" t="str">
        <f t="shared" si="165"/>
        <v/>
      </c>
      <c r="CT41" s="209" t="str">
        <f t="shared" si="188"/>
        <v/>
      </c>
      <c r="CU41" s="227" t="str">
        <f t="shared" si="17"/>
        <v/>
      </c>
      <c r="CV41" s="43">
        <f t="shared" si="189"/>
        <v>0</v>
      </c>
      <c r="CW41" s="209" t="str">
        <f t="shared" si="190"/>
        <v/>
      </c>
      <c r="CX41" s="204" t="str">
        <f t="shared" si="191"/>
        <v/>
      </c>
      <c r="CY41" s="43">
        <f t="shared" si="166"/>
        <v>0</v>
      </c>
      <c r="CZ41" s="44">
        <f t="shared" si="193"/>
        <v>0</v>
      </c>
      <c r="DA41" s="45">
        <f t="shared" si="167"/>
        <v>0</v>
      </c>
      <c r="DB41" s="46">
        <f t="shared" si="18"/>
        <v>0</v>
      </c>
      <c r="DC41" s="47" t="str">
        <f t="shared" si="168"/>
        <v/>
      </c>
      <c r="DD41" s="52">
        <f t="shared" si="19"/>
        <v>0</v>
      </c>
      <c r="DE41" s="52">
        <f t="shared" si="20"/>
        <v>0</v>
      </c>
      <c r="DF41" s="52">
        <f t="shared" si="21"/>
        <v>0</v>
      </c>
      <c r="DG41" s="215">
        <f>IF(DC41="",0,MAX(DD41:DE41:DF41))</f>
        <v>0</v>
      </c>
      <c r="DH41" s="115" t="str">
        <f t="shared" si="22"/>
        <v/>
      </c>
      <c r="DI41" s="51" t="str">
        <f t="shared" si="23"/>
        <v/>
      </c>
      <c r="DJ41" s="51" t="str">
        <f t="shared" si="24"/>
        <v/>
      </c>
      <c r="DK41" s="49" t="str">
        <f t="shared" si="169"/>
        <v/>
      </c>
      <c r="DL41" s="52">
        <f t="shared" si="25"/>
        <v>0</v>
      </c>
      <c r="DM41" s="52">
        <f t="shared" si="26"/>
        <v>0</v>
      </c>
      <c r="DN41" s="52">
        <f t="shared" si="27"/>
        <v>0</v>
      </c>
      <c r="DO41" s="215">
        <f>IF(DK41="",0,MAX(DL41:DM41:DN41))</f>
        <v>0</v>
      </c>
      <c r="DP41" s="115" t="str">
        <f t="shared" si="28"/>
        <v/>
      </c>
      <c r="DQ41" s="51" t="str">
        <f t="shared" si="29"/>
        <v/>
      </c>
      <c r="DR41" s="51" t="str">
        <f t="shared" si="30"/>
        <v/>
      </c>
      <c r="DS41" s="49" t="str">
        <f t="shared" si="170"/>
        <v/>
      </c>
      <c r="DT41" s="52">
        <f t="shared" si="31"/>
        <v>0</v>
      </c>
      <c r="DU41" s="52">
        <f t="shared" si="32"/>
        <v>0</v>
      </c>
      <c r="DV41" s="52">
        <f t="shared" si="33"/>
        <v>0</v>
      </c>
      <c r="DW41" s="215">
        <f>IF(DS41="",0,MAX(DT41:DU41:DV41))</f>
        <v>0</v>
      </c>
      <c r="DX41" s="115" t="str">
        <f t="shared" si="34"/>
        <v/>
      </c>
      <c r="DY41" s="51" t="str">
        <f t="shared" si="35"/>
        <v/>
      </c>
      <c r="DZ41" s="51" t="str">
        <f t="shared" si="36"/>
        <v/>
      </c>
      <c r="EA41" s="49" t="str">
        <f t="shared" si="171"/>
        <v/>
      </c>
      <c r="EB41" s="52">
        <f t="shared" si="37"/>
        <v>0</v>
      </c>
      <c r="EC41" s="52">
        <f t="shared" si="38"/>
        <v>0</v>
      </c>
      <c r="ED41" s="52">
        <f t="shared" si="39"/>
        <v>0</v>
      </c>
      <c r="EE41" s="215">
        <f>IF(EA41="",0,MAX(EB41:EC41:ED41))</f>
        <v>0</v>
      </c>
      <c r="EF41" s="115" t="str">
        <f t="shared" si="40"/>
        <v/>
      </c>
      <c r="EG41" s="51" t="str">
        <f t="shared" si="41"/>
        <v/>
      </c>
      <c r="EH41" s="51" t="str">
        <f t="shared" si="42"/>
        <v/>
      </c>
      <c r="EI41" s="49" t="str">
        <f t="shared" si="172"/>
        <v/>
      </c>
      <c r="EJ41" s="52">
        <f t="shared" si="43"/>
        <v>0</v>
      </c>
      <c r="EK41" s="52">
        <f t="shared" si="44"/>
        <v>0</v>
      </c>
      <c r="EL41" s="52">
        <f t="shared" si="45"/>
        <v>0</v>
      </c>
      <c r="EM41" s="215">
        <f>IF(EI41="",0,MAX(EJ41:EK41:EL41))</f>
        <v>0</v>
      </c>
      <c r="EN41" s="115" t="str">
        <f t="shared" si="46"/>
        <v/>
      </c>
      <c r="EO41" s="51" t="str">
        <f t="shared" si="47"/>
        <v/>
      </c>
      <c r="EP41" s="51" t="str">
        <f t="shared" si="48"/>
        <v/>
      </c>
      <c r="EQ41" s="49" t="str">
        <f t="shared" si="173"/>
        <v/>
      </c>
      <c r="ER41" s="52">
        <f t="shared" si="49"/>
        <v>0</v>
      </c>
      <c r="ES41" s="52">
        <f t="shared" si="50"/>
        <v>0</v>
      </c>
      <c r="ET41" s="52">
        <f t="shared" si="51"/>
        <v>0</v>
      </c>
      <c r="EU41" s="215">
        <f>IF(EQ41="",0,MAX(ER41:ES41:ET41))</f>
        <v>0</v>
      </c>
      <c r="EV41" s="115" t="str">
        <f t="shared" si="52"/>
        <v/>
      </c>
      <c r="EW41" s="51" t="str">
        <f t="shared" si="53"/>
        <v/>
      </c>
      <c r="EX41" s="51" t="str">
        <f t="shared" si="54"/>
        <v/>
      </c>
      <c r="EY41" s="49" t="str">
        <f t="shared" si="174"/>
        <v/>
      </c>
      <c r="EZ41" s="52">
        <f t="shared" si="55"/>
        <v>0</v>
      </c>
      <c r="FA41" s="52">
        <f t="shared" si="56"/>
        <v>0</v>
      </c>
      <c r="FB41" s="52">
        <f t="shared" si="57"/>
        <v>0</v>
      </c>
      <c r="FC41" s="215">
        <f>IF(EY41="",0,MAX(EZ41:FA41:FB41))</f>
        <v>0</v>
      </c>
      <c r="FD41" s="115" t="str">
        <f t="shared" si="58"/>
        <v/>
      </c>
      <c r="FE41" s="51" t="str">
        <f t="shared" si="59"/>
        <v/>
      </c>
      <c r="FF41" s="51" t="str">
        <f t="shared" si="60"/>
        <v/>
      </c>
      <c r="FG41" s="49" t="str">
        <f t="shared" si="175"/>
        <v/>
      </c>
      <c r="FH41" s="52">
        <f t="shared" si="61"/>
        <v>0</v>
      </c>
      <c r="FI41" s="52">
        <f t="shared" si="62"/>
        <v>0</v>
      </c>
      <c r="FJ41" s="52">
        <f t="shared" si="63"/>
        <v>0</v>
      </c>
      <c r="FK41" s="215">
        <f>IF(FG41="",0,MAX(FH41:FI41:FJ41))</f>
        <v>0</v>
      </c>
      <c r="FL41" s="115" t="str">
        <f t="shared" si="64"/>
        <v/>
      </c>
      <c r="FM41" s="51" t="str">
        <f t="shared" si="65"/>
        <v/>
      </c>
      <c r="FN41" s="51" t="str">
        <f t="shared" si="66"/>
        <v/>
      </c>
      <c r="FO41" s="49" t="str">
        <f t="shared" si="176"/>
        <v/>
      </c>
      <c r="FP41" s="52">
        <f t="shared" si="67"/>
        <v>0</v>
      </c>
      <c r="FQ41" s="52">
        <f t="shared" si="68"/>
        <v>0</v>
      </c>
      <c r="FR41" s="52">
        <f t="shared" si="69"/>
        <v>0</v>
      </c>
      <c r="FS41" s="215">
        <f>IF(FO41="",0,MAX(FP41:FQ41:FR41))</f>
        <v>0</v>
      </c>
      <c r="FT41" s="115" t="str">
        <f t="shared" si="70"/>
        <v/>
      </c>
      <c r="FU41" s="51" t="str">
        <f t="shared" si="71"/>
        <v/>
      </c>
      <c r="FV41" s="51" t="str">
        <f t="shared" si="72"/>
        <v/>
      </c>
      <c r="FW41" s="49" t="str">
        <f t="shared" si="177"/>
        <v/>
      </c>
      <c r="FX41" s="52">
        <f t="shared" si="73"/>
        <v>0</v>
      </c>
      <c r="FY41" s="52">
        <f t="shared" si="74"/>
        <v>0</v>
      </c>
      <c r="FZ41" s="52">
        <f t="shared" si="75"/>
        <v>0</v>
      </c>
      <c r="GA41" s="215">
        <f>IF(FW41="",0,MAX(FX41:FY41:FZ41))</f>
        <v>0</v>
      </c>
      <c r="GB41" s="115" t="str">
        <f t="shared" si="76"/>
        <v/>
      </c>
      <c r="GC41" s="51" t="str">
        <f t="shared" si="77"/>
        <v/>
      </c>
      <c r="GD41" s="51" t="str">
        <f t="shared" si="78"/>
        <v/>
      </c>
      <c r="GE41" s="49" t="str">
        <f t="shared" si="178"/>
        <v/>
      </c>
      <c r="GF41" s="52">
        <f t="shared" si="79"/>
        <v>0</v>
      </c>
      <c r="GG41" s="52">
        <f t="shared" si="80"/>
        <v>0</v>
      </c>
      <c r="GH41" s="52">
        <f t="shared" si="81"/>
        <v>0</v>
      </c>
      <c r="GI41" s="215">
        <f>IF(GE41="",0,MAX(GF41:GG41:GH41))</f>
        <v>0</v>
      </c>
      <c r="GJ41" s="115" t="str">
        <f t="shared" si="82"/>
        <v/>
      </c>
      <c r="GK41" s="51" t="str">
        <f t="shared" si="83"/>
        <v/>
      </c>
      <c r="GL41" s="51" t="str">
        <f t="shared" si="84"/>
        <v/>
      </c>
      <c r="GM41" s="49" t="str">
        <f t="shared" si="179"/>
        <v/>
      </c>
      <c r="GN41" s="52">
        <f t="shared" si="85"/>
        <v>0</v>
      </c>
      <c r="GO41" s="52">
        <f t="shared" si="86"/>
        <v>0</v>
      </c>
      <c r="GP41" s="52">
        <f t="shared" si="87"/>
        <v>0</v>
      </c>
      <c r="GQ41" s="215">
        <f>IF(GM41="",0,MAX(GN41:GO41:GP41))</f>
        <v>0</v>
      </c>
      <c r="GR41" s="115" t="str">
        <f t="shared" si="88"/>
        <v/>
      </c>
      <c r="GS41" s="51" t="str">
        <f t="shared" si="89"/>
        <v/>
      </c>
      <c r="GT41" s="51" t="str">
        <f t="shared" si="90"/>
        <v/>
      </c>
      <c r="GU41" s="49" t="str">
        <f t="shared" si="180"/>
        <v/>
      </c>
      <c r="GV41" s="52">
        <f t="shared" si="91"/>
        <v>0</v>
      </c>
      <c r="GW41" s="52">
        <f t="shared" si="92"/>
        <v>0</v>
      </c>
      <c r="GX41" s="52">
        <f t="shared" si="93"/>
        <v>0</v>
      </c>
      <c r="GY41" s="215">
        <f>IF(GU41="",0,MAX(GV41:GW41:GX41))</f>
        <v>0</v>
      </c>
      <c r="GZ41" s="115" t="str">
        <f t="shared" si="94"/>
        <v/>
      </c>
      <c r="HA41" s="51" t="str">
        <f t="shared" si="95"/>
        <v/>
      </c>
      <c r="HB41" s="51" t="str">
        <f t="shared" si="96"/>
        <v/>
      </c>
      <c r="HC41" s="49" t="str">
        <f t="shared" si="181"/>
        <v/>
      </c>
      <c r="HD41" s="52">
        <f t="shared" si="97"/>
        <v>0</v>
      </c>
      <c r="HE41" s="52">
        <f t="shared" si="98"/>
        <v>0</v>
      </c>
      <c r="HF41" s="52">
        <f t="shared" si="99"/>
        <v>0</v>
      </c>
      <c r="HG41" s="215">
        <f>IF(HC41="",0,MAX(HD41:HE41:HF41))</f>
        <v>0</v>
      </c>
      <c r="HH41" s="115" t="str">
        <f t="shared" si="100"/>
        <v/>
      </c>
      <c r="HI41" s="51" t="str">
        <f t="shared" si="101"/>
        <v/>
      </c>
      <c r="HJ41" s="51" t="str">
        <f t="shared" si="102"/>
        <v/>
      </c>
      <c r="HK41" s="49" t="str">
        <f t="shared" si="182"/>
        <v/>
      </c>
      <c r="HL41" s="52">
        <f t="shared" si="103"/>
        <v>0</v>
      </c>
      <c r="HM41" s="52">
        <f t="shared" si="104"/>
        <v>0</v>
      </c>
      <c r="HN41" s="52">
        <f t="shared" si="105"/>
        <v>0</v>
      </c>
      <c r="HO41" s="215">
        <f>IF(HK41="",0,MAX(HL41:HM41:HN41))</f>
        <v>0</v>
      </c>
      <c r="HP41" s="115" t="str">
        <f t="shared" si="106"/>
        <v/>
      </c>
      <c r="HQ41" s="51" t="str">
        <f t="shared" si="107"/>
        <v/>
      </c>
      <c r="HR41" s="51" t="str">
        <f t="shared" si="108"/>
        <v/>
      </c>
      <c r="HS41" s="49" t="str">
        <f t="shared" si="183"/>
        <v/>
      </c>
      <c r="HT41" s="52">
        <f t="shared" si="109"/>
        <v>0</v>
      </c>
      <c r="HU41" s="52">
        <f t="shared" si="110"/>
        <v>0</v>
      </c>
      <c r="HV41" s="52">
        <f t="shared" si="111"/>
        <v>0</v>
      </c>
      <c r="HW41" s="215">
        <f>IF(HS41="",0,MAX(HT41:HU41:HV41))</f>
        <v>0</v>
      </c>
      <c r="HX41" s="115" t="str">
        <f t="shared" si="112"/>
        <v/>
      </c>
      <c r="HY41" s="51" t="str">
        <f t="shared" si="113"/>
        <v/>
      </c>
      <c r="HZ41" s="51" t="str">
        <f t="shared" si="114"/>
        <v/>
      </c>
      <c r="IA41" s="49" t="str">
        <f t="shared" si="184"/>
        <v/>
      </c>
      <c r="IB41" s="52">
        <f t="shared" si="115"/>
        <v>0</v>
      </c>
      <c r="IC41" s="52">
        <f t="shared" si="116"/>
        <v>0</v>
      </c>
      <c r="ID41" s="52">
        <f t="shared" si="117"/>
        <v>0</v>
      </c>
      <c r="IE41" s="215">
        <f>IF(IA41="",0,MAX(IB41:IC41:ID41))</f>
        <v>0</v>
      </c>
      <c r="IF41" s="115" t="str">
        <f t="shared" si="118"/>
        <v/>
      </c>
      <c r="IG41" s="51" t="str">
        <f t="shared" si="119"/>
        <v/>
      </c>
      <c r="IH41" s="51" t="str">
        <f t="shared" si="120"/>
        <v/>
      </c>
      <c r="II41" s="49" t="str">
        <f t="shared" si="185"/>
        <v/>
      </c>
      <c r="IJ41" s="52">
        <f t="shared" si="121"/>
        <v>0</v>
      </c>
      <c r="IK41" s="52">
        <f t="shared" si="122"/>
        <v>0</v>
      </c>
      <c r="IL41" s="52">
        <f t="shared" si="123"/>
        <v>0</v>
      </c>
      <c r="IM41" s="215">
        <f>IF(II41="",0,MAX(IJ41:IK41:IL41))</f>
        <v>0</v>
      </c>
      <c r="IN41" s="115" t="str">
        <f t="shared" si="124"/>
        <v/>
      </c>
      <c r="IO41" s="51" t="str">
        <f t="shared" si="125"/>
        <v/>
      </c>
      <c r="IP41" s="51" t="str">
        <f t="shared" si="126"/>
        <v/>
      </c>
      <c r="IQ41" s="49" t="str">
        <f t="shared" si="186"/>
        <v/>
      </c>
      <c r="IR41" s="52">
        <f t="shared" si="127"/>
        <v>0</v>
      </c>
      <c r="IS41" s="52">
        <f t="shared" si="128"/>
        <v>0</v>
      </c>
      <c r="IT41" s="52">
        <f t="shared" si="129"/>
        <v>0</v>
      </c>
      <c r="IU41" s="215">
        <f>IF(IQ41="",0,MAX(IR41:IS41:IT41))</f>
        <v>0</v>
      </c>
    </row>
    <row r="42" spans="1:256" s="16" customFormat="1" ht="18" customHeight="1" thickTop="1" thickBot="1" x14ac:dyDescent="0.35">
      <c r="A42" s="902" t="str">
        <f t="shared" si="130"/>
        <v/>
      </c>
      <c r="B42" s="903"/>
      <c r="C42" s="708"/>
      <c r="D42" s="709" t="str">
        <f t="shared" si="131"/>
        <v/>
      </c>
      <c r="E42" s="843" t="str">
        <f>IF(D42="","",SUM(D$30:D42))</f>
        <v/>
      </c>
      <c r="F42" s="951"/>
      <c r="G42" s="952"/>
      <c r="H42" s="953"/>
      <c r="I42" s="954"/>
      <c r="J42" s="955"/>
      <c r="K42" s="956"/>
      <c r="L42" s="925"/>
      <c r="M42" s="927" t="str">
        <f t="shared" si="132"/>
        <v/>
      </c>
      <c r="N42" s="934" t="str">
        <f>IF(AND(H42="",I42=""),"",IF($D$19="x",1,IF($K$16="",LOOKUP((H42+I42),'Quadro 2 Ordenado'!$B$6:'Quadro 2 Ordenado'!$B$107,'Quadro 2 Ordenado'!$C$6:'Quadro 2 Ordenado'!$C$107),LOOKUP((H42+I42),'Quadro 2 Ordenado'!$B$6:'Quadro 2 Ordenado'!$B$107,'Quadro 2 Ordenado'!$D$6:'Quadro 2 Ordenado'!$D$107))))</f>
        <v/>
      </c>
      <c r="O42" s="50"/>
      <c r="P42" s="928" t="str">
        <f t="shared" si="133"/>
        <v/>
      </c>
      <c r="S42" s="935" t="str">
        <f t="shared" si="5"/>
        <v/>
      </c>
      <c r="T42" s="111" t="str">
        <f t="shared" si="6"/>
        <v/>
      </c>
      <c r="U42" s="926"/>
      <c r="V42" s="610" t="str">
        <f t="shared" si="192"/>
        <v/>
      </c>
      <c r="W42" s="936" t="str">
        <f>IF(OR(T42="",T42=0),"",IF($V42&gt;'Quadro 3'!$F$23,'Quadro 3'!$F$23,IF($V42&lt;'Quadro 3'!$F$10,'Quadro 3'!$F$10,MIN($X42,$Y42))))</f>
        <v/>
      </c>
      <c r="X42" s="937" t="str">
        <f>IF($V42&lt;='Quadro 3'!$F$10,'Quadro 3'!$F$10,IF($V42&lt;='Quadro 3'!$F$11,'Quadro 3'!$F$11,IF($V42&lt;='Quadro 3'!$F$12,'Quadro 3'!$F$12,IF($V42&lt;='Quadro 3'!$F$13,'Quadro 3'!$F$13,IF($V42&lt;='Quadro 3'!$F$14,'Quadro 3'!$F$14,IF($V42&lt;='Quadro 3'!$F$15,'Quadro 3'!$F$15,IF($V42&lt;='Quadro 3'!$F$16,'Quadro 3'!$F$16,"")))))))</f>
        <v/>
      </c>
      <c r="Y42" s="938" t="str">
        <f>IF(OR(T42="",T42=0),"",IF($V42&lt;='Quadro 3'!$F$17,'Quadro 3'!$F$17,IF($V42&lt;='Quadro 3'!$F$18,'Quadro 3'!$F$18,IF($V42&lt;='Quadro 3'!$F$19,'Quadro 3'!$F$19,IF($V42&lt;='Quadro 3'!$F$20,'Quadro 3'!$F$20,IF($V42&lt;='Quadro 3'!$F$21,'Quadro 3'!$F$21,IF($V42&lt;='Quadro 3'!$F$22,'Quadro 3'!$F$22,IF($V42&lt;='Quadro 3'!$F$23,'Quadro 3'!$F$23,'Quadro 3'!$F$23))))))))</f>
        <v/>
      </c>
      <c r="Z42" s="936" t="str">
        <f>IF($W42="","",LOOKUP($W42,'Quadro 3'!$F$9:$F$23,'Quadro 3'!$G$9:$G$23))</f>
        <v/>
      </c>
      <c r="AA42" s="1129" t="str">
        <f>IF($W42="","",LOOKUP($W42,'Quadro 3'!$F$9:$F$23,'Quadro 3'!$D$9:$D$23))</f>
        <v/>
      </c>
      <c r="AB42" s="939" t="str">
        <f>IF($W42="","",LOOKUP($W42,'Quadro 3'!$F$9:$F$23,'Quadro 3'!$E$9:$E$23))</f>
        <v/>
      </c>
      <c r="AC42" s="929" t="str">
        <f t="shared" si="7"/>
        <v/>
      </c>
      <c r="AD42" s="1151" t="str">
        <f t="shared" si="134"/>
        <v/>
      </c>
      <c r="AE42" s="1152"/>
      <c r="AF42" s="1121" t="str">
        <f t="shared" si="8"/>
        <v/>
      </c>
      <c r="AG42" s="1123" t="str">
        <f t="shared" si="135"/>
        <v/>
      </c>
      <c r="AH42" s="931" t="str">
        <f t="shared" si="9"/>
        <v/>
      </c>
      <c r="AI42" s="932" t="str">
        <f t="shared" si="10"/>
        <v/>
      </c>
      <c r="AJ42" s="1153" t="str">
        <f t="shared" si="11"/>
        <v/>
      </c>
      <c r="AK42" s="1154"/>
      <c r="AL42" s="933" t="str">
        <f t="shared" si="136"/>
        <v/>
      </c>
      <c r="AM42" s="1138" t="str">
        <f t="shared" si="12"/>
        <v/>
      </c>
      <c r="AN42" s="1139"/>
      <c r="AO42" s="1140"/>
      <c r="AQ42" s="1126"/>
      <c r="AU42" s="1116">
        <f t="shared" si="187"/>
        <v>0</v>
      </c>
      <c r="AV42" s="350" t="str">
        <f t="shared" si="137"/>
        <v/>
      </c>
      <c r="AW42" s="241">
        <f t="shared" si="13"/>
        <v>0</v>
      </c>
      <c r="AX42" s="241" t="str">
        <f t="shared" si="14"/>
        <v/>
      </c>
      <c r="AY42" s="241" t="str">
        <f t="shared" si="15"/>
        <v/>
      </c>
      <c r="AZ42" s="241" t="str">
        <f t="shared" si="16"/>
        <v/>
      </c>
      <c r="BA42" s="2"/>
      <c r="BB42" s="2"/>
      <c r="BC42" s="2"/>
      <c r="BD42" s="2"/>
      <c r="BE42" s="2"/>
      <c r="BF42" s="2"/>
      <c r="BG42" s="2"/>
      <c r="BH42" s="2"/>
      <c r="BI42" s="350" t="str">
        <f t="shared" si="138"/>
        <v>0</v>
      </c>
      <c r="BJ42" s="350">
        <f t="shared" si="139"/>
        <v>0</v>
      </c>
      <c r="BK42" s="911" t="str">
        <f t="shared" si="140"/>
        <v>NA</v>
      </c>
      <c r="BL42" s="911" t="str">
        <f t="shared" si="141"/>
        <v/>
      </c>
      <c r="BM42" s="911" t="str">
        <f t="shared" si="142"/>
        <v/>
      </c>
      <c r="BN42" s="2"/>
      <c r="BO42" s="2"/>
      <c r="BP42" s="2"/>
      <c r="BQ42" s="2"/>
      <c r="BR42" s="2"/>
      <c r="BS42" s="2"/>
      <c r="BT42" s="2"/>
      <c r="BU42" s="2"/>
      <c r="BV42" s="350" t="str">
        <f t="shared" si="143"/>
        <v/>
      </c>
      <c r="BW42" s="235" t="str">
        <f t="shared" si="144"/>
        <v/>
      </c>
      <c r="BX42" s="235" t="str">
        <f t="shared" si="145"/>
        <v/>
      </c>
      <c r="BY42" s="235" t="str">
        <f t="shared" si="146"/>
        <v/>
      </c>
      <c r="BZ42" s="235" t="str">
        <f t="shared" si="147"/>
        <v/>
      </c>
      <c r="CA42" s="235" t="str">
        <f t="shared" si="148"/>
        <v/>
      </c>
      <c r="CB42" s="235" t="str">
        <f t="shared" si="149"/>
        <v/>
      </c>
      <c r="CC42" s="235" t="str">
        <f t="shared" si="150"/>
        <v/>
      </c>
      <c r="CD42" s="235" t="str">
        <f t="shared" si="151"/>
        <v/>
      </c>
      <c r="CE42" s="235" t="str">
        <f t="shared" si="152"/>
        <v/>
      </c>
      <c r="CF42" s="235" t="str">
        <f t="shared" si="153"/>
        <v/>
      </c>
      <c r="CG42" s="235" t="str">
        <f t="shared" si="154"/>
        <v/>
      </c>
      <c r="CH42" s="235" t="str">
        <f t="shared" si="155"/>
        <v/>
      </c>
      <c r="CI42" s="235" t="str">
        <f t="shared" si="156"/>
        <v/>
      </c>
      <c r="CJ42" s="235" t="str">
        <f t="shared" si="157"/>
        <v/>
      </c>
      <c r="CK42" s="235" t="str">
        <f t="shared" si="158"/>
        <v/>
      </c>
      <c r="CL42" s="235" t="str">
        <f t="shared" si="159"/>
        <v/>
      </c>
      <c r="CM42" s="235" t="str">
        <f t="shared" si="160"/>
        <v/>
      </c>
      <c r="CN42" s="235" t="str">
        <f t="shared" si="161"/>
        <v/>
      </c>
      <c r="CO42" s="235" t="str">
        <f t="shared" si="162"/>
        <v/>
      </c>
      <c r="CP42" s="235" t="str">
        <f t="shared" si="163"/>
        <v/>
      </c>
      <c r="CQ42" s="2">
        <v>13</v>
      </c>
      <c r="CR42" s="207" t="str">
        <f t="shared" si="164"/>
        <v/>
      </c>
      <c r="CS42" s="227" t="str">
        <f t="shared" si="165"/>
        <v/>
      </c>
      <c r="CT42" s="209" t="str">
        <f t="shared" si="188"/>
        <v/>
      </c>
      <c r="CU42" s="227" t="str">
        <f t="shared" si="17"/>
        <v/>
      </c>
      <c r="CV42" s="43">
        <f t="shared" si="189"/>
        <v>0</v>
      </c>
      <c r="CW42" s="209" t="str">
        <f t="shared" si="190"/>
        <v/>
      </c>
      <c r="CX42" s="204" t="str">
        <f t="shared" si="191"/>
        <v/>
      </c>
      <c r="CY42" s="43">
        <f t="shared" si="166"/>
        <v>0</v>
      </c>
      <c r="CZ42" s="44">
        <f t="shared" si="193"/>
        <v>0</v>
      </c>
      <c r="DA42" s="45">
        <f t="shared" si="167"/>
        <v>0</v>
      </c>
      <c r="DB42" s="46">
        <f t="shared" si="18"/>
        <v>0</v>
      </c>
      <c r="DC42" s="47" t="str">
        <f t="shared" si="168"/>
        <v/>
      </c>
      <c r="DD42" s="52">
        <f t="shared" si="19"/>
        <v>0</v>
      </c>
      <c r="DE42" s="52">
        <f t="shared" si="20"/>
        <v>0</v>
      </c>
      <c r="DF42" s="52">
        <f t="shared" si="21"/>
        <v>0</v>
      </c>
      <c r="DG42" s="215">
        <f>IF(DC42="",0,MAX(DD42:DE42:DF42))</f>
        <v>0</v>
      </c>
      <c r="DH42" s="115" t="str">
        <f t="shared" si="22"/>
        <v/>
      </c>
      <c r="DI42" s="51" t="str">
        <f t="shared" si="23"/>
        <v/>
      </c>
      <c r="DJ42" s="51" t="str">
        <f t="shared" si="24"/>
        <v/>
      </c>
      <c r="DK42" s="49" t="str">
        <f t="shared" si="169"/>
        <v/>
      </c>
      <c r="DL42" s="52">
        <f t="shared" si="25"/>
        <v>0</v>
      </c>
      <c r="DM42" s="52">
        <f t="shared" si="26"/>
        <v>0</v>
      </c>
      <c r="DN42" s="52">
        <f t="shared" si="27"/>
        <v>0</v>
      </c>
      <c r="DO42" s="215">
        <f>IF(DK42="",0,MAX(DL42:DM42:DN42))</f>
        <v>0</v>
      </c>
      <c r="DP42" s="115" t="str">
        <f t="shared" si="28"/>
        <v/>
      </c>
      <c r="DQ42" s="51" t="str">
        <f t="shared" si="29"/>
        <v/>
      </c>
      <c r="DR42" s="51" t="str">
        <f t="shared" si="30"/>
        <v/>
      </c>
      <c r="DS42" s="49" t="str">
        <f t="shared" si="170"/>
        <v/>
      </c>
      <c r="DT42" s="52">
        <f t="shared" si="31"/>
        <v>0</v>
      </c>
      <c r="DU42" s="52">
        <f t="shared" si="32"/>
        <v>0</v>
      </c>
      <c r="DV42" s="52">
        <f t="shared" si="33"/>
        <v>0</v>
      </c>
      <c r="DW42" s="215">
        <f>IF(DS42="",0,MAX(DT42:DU42:DV42))</f>
        <v>0</v>
      </c>
      <c r="DX42" s="115" t="str">
        <f t="shared" si="34"/>
        <v/>
      </c>
      <c r="DY42" s="51" t="str">
        <f t="shared" si="35"/>
        <v/>
      </c>
      <c r="DZ42" s="51" t="str">
        <f t="shared" si="36"/>
        <v/>
      </c>
      <c r="EA42" s="49" t="str">
        <f t="shared" si="171"/>
        <v/>
      </c>
      <c r="EB42" s="52">
        <f t="shared" si="37"/>
        <v>0</v>
      </c>
      <c r="EC42" s="52">
        <f t="shared" si="38"/>
        <v>0</v>
      </c>
      <c r="ED42" s="52">
        <f t="shared" si="39"/>
        <v>0</v>
      </c>
      <c r="EE42" s="215">
        <f>IF(EA42="",0,MAX(EB42:EC42:ED42))</f>
        <v>0</v>
      </c>
      <c r="EF42" s="115" t="str">
        <f t="shared" si="40"/>
        <v/>
      </c>
      <c r="EG42" s="51" t="str">
        <f t="shared" si="41"/>
        <v/>
      </c>
      <c r="EH42" s="51" t="str">
        <f t="shared" si="42"/>
        <v/>
      </c>
      <c r="EI42" s="49" t="str">
        <f t="shared" si="172"/>
        <v/>
      </c>
      <c r="EJ42" s="52">
        <f t="shared" si="43"/>
        <v>0</v>
      </c>
      <c r="EK42" s="52">
        <f t="shared" si="44"/>
        <v>0</v>
      </c>
      <c r="EL42" s="52">
        <f t="shared" si="45"/>
        <v>0</v>
      </c>
      <c r="EM42" s="215">
        <f>IF(EI42="",0,MAX(EJ42:EK42:EL42))</f>
        <v>0</v>
      </c>
      <c r="EN42" s="115" t="str">
        <f t="shared" si="46"/>
        <v/>
      </c>
      <c r="EO42" s="51" t="str">
        <f t="shared" si="47"/>
        <v/>
      </c>
      <c r="EP42" s="51" t="str">
        <f t="shared" si="48"/>
        <v/>
      </c>
      <c r="EQ42" s="49" t="str">
        <f t="shared" si="173"/>
        <v/>
      </c>
      <c r="ER42" s="52">
        <f t="shared" si="49"/>
        <v>0</v>
      </c>
      <c r="ES42" s="52">
        <f t="shared" si="50"/>
        <v>0</v>
      </c>
      <c r="ET42" s="52">
        <f t="shared" si="51"/>
        <v>0</v>
      </c>
      <c r="EU42" s="215">
        <f>IF(EQ42="",0,MAX(ER42:ES42:ET42))</f>
        <v>0</v>
      </c>
      <c r="EV42" s="115" t="str">
        <f t="shared" si="52"/>
        <v/>
      </c>
      <c r="EW42" s="51" t="str">
        <f t="shared" si="53"/>
        <v/>
      </c>
      <c r="EX42" s="51" t="str">
        <f t="shared" si="54"/>
        <v/>
      </c>
      <c r="EY42" s="49" t="str">
        <f t="shared" si="174"/>
        <v/>
      </c>
      <c r="EZ42" s="52">
        <f t="shared" si="55"/>
        <v>0</v>
      </c>
      <c r="FA42" s="52">
        <f t="shared" si="56"/>
        <v>0</v>
      </c>
      <c r="FB42" s="52">
        <f t="shared" si="57"/>
        <v>0</v>
      </c>
      <c r="FC42" s="215">
        <f>IF(EY42="",0,MAX(EZ42:FA42:FB42))</f>
        <v>0</v>
      </c>
      <c r="FD42" s="115" t="str">
        <f t="shared" si="58"/>
        <v/>
      </c>
      <c r="FE42" s="51" t="str">
        <f t="shared" si="59"/>
        <v/>
      </c>
      <c r="FF42" s="51" t="str">
        <f t="shared" si="60"/>
        <v/>
      </c>
      <c r="FG42" s="49" t="str">
        <f t="shared" si="175"/>
        <v/>
      </c>
      <c r="FH42" s="52">
        <f t="shared" si="61"/>
        <v>0</v>
      </c>
      <c r="FI42" s="52">
        <f t="shared" si="62"/>
        <v>0</v>
      </c>
      <c r="FJ42" s="52">
        <f t="shared" si="63"/>
        <v>0</v>
      </c>
      <c r="FK42" s="215">
        <f>IF(FG42="",0,MAX(FH42:FI42:FJ42))</f>
        <v>0</v>
      </c>
      <c r="FL42" s="115" t="str">
        <f t="shared" si="64"/>
        <v/>
      </c>
      <c r="FM42" s="51" t="str">
        <f t="shared" si="65"/>
        <v/>
      </c>
      <c r="FN42" s="51" t="str">
        <f t="shared" si="66"/>
        <v/>
      </c>
      <c r="FO42" s="49" t="str">
        <f t="shared" si="176"/>
        <v/>
      </c>
      <c r="FP42" s="52">
        <f t="shared" si="67"/>
        <v>0</v>
      </c>
      <c r="FQ42" s="52">
        <f t="shared" si="68"/>
        <v>0</v>
      </c>
      <c r="FR42" s="52">
        <f t="shared" si="69"/>
        <v>0</v>
      </c>
      <c r="FS42" s="215">
        <f>IF(FO42="",0,MAX(FP42:FQ42:FR42))</f>
        <v>0</v>
      </c>
      <c r="FT42" s="115" t="str">
        <f t="shared" si="70"/>
        <v/>
      </c>
      <c r="FU42" s="51" t="str">
        <f t="shared" si="71"/>
        <v/>
      </c>
      <c r="FV42" s="51" t="str">
        <f t="shared" si="72"/>
        <v/>
      </c>
      <c r="FW42" s="49" t="str">
        <f t="shared" si="177"/>
        <v/>
      </c>
      <c r="FX42" s="52">
        <f t="shared" si="73"/>
        <v>0</v>
      </c>
      <c r="FY42" s="52">
        <f t="shared" si="74"/>
        <v>0</v>
      </c>
      <c r="FZ42" s="52">
        <f t="shared" si="75"/>
        <v>0</v>
      </c>
      <c r="GA42" s="215">
        <f>IF(FW42="",0,MAX(FX42:FY42:FZ42))</f>
        <v>0</v>
      </c>
      <c r="GB42" s="115" t="str">
        <f t="shared" si="76"/>
        <v/>
      </c>
      <c r="GC42" s="51" t="str">
        <f t="shared" si="77"/>
        <v/>
      </c>
      <c r="GD42" s="51" t="str">
        <f t="shared" si="78"/>
        <v/>
      </c>
      <c r="GE42" s="49" t="str">
        <f t="shared" si="178"/>
        <v/>
      </c>
      <c r="GF42" s="52">
        <f t="shared" si="79"/>
        <v>0</v>
      </c>
      <c r="GG42" s="52">
        <f t="shared" si="80"/>
        <v>0</v>
      </c>
      <c r="GH42" s="52">
        <f t="shared" si="81"/>
        <v>0</v>
      </c>
      <c r="GI42" s="215">
        <f>IF(GE42="",0,MAX(GF42:GG42:GH42))</f>
        <v>0</v>
      </c>
      <c r="GJ42" s="115" t="str">
        <f t="shared" si="82"/>
        <v/>
      </c>
      <c r="GK42" s="51" t="str">
        <f t="shared" si="83"/>
        <v/>
      </c>
      <c r="GL42" s="51" t="str">
        <f t="shared" si="84"/>
        <v/>
      </c>
      <c r="GM42" s="49" t="str">
        <f t="shared" si="179"/>
        <v/>
      </c>
      <c r="GN42" s="52">
        <f t="shared" si="85"/>
        <v>0</v>
      </c>
      <c r="GO42" s="52">
        <f t="shared" si="86"/>
        <v>0</v>
      </c>
      <c r="GP42" s="52">
        <f t="shared" si="87"/>
        <v>0</v>
      </c>
      <c r="GQ42" s="215">
        <f>IF(GM42="",0,MAX(GN42:GO42:GP42))</f>
        <v>0</v>
      </c>
      <c r="GR42" s="115" t="str">
        <f t="shared" si="88"/>
        <v/>
      </c>
      <c r="GS42" s="51" t="str">
        <f t="shared" si="89"/>
        <v/>
      </c>
      <c r="GT42" s="51" t="str">
        <f t="shared" si="90"/>
        <v/>
      </c>
      <c r="GU42" s="49" t="str">
        <f t="shared" si="180"/>
        <v/>
      </c>
      <c r="GV42" s="52">
        <f t="shared" si="91"/>
        <v>0</v>
      </c>
      <c r="GW42" s="52">
        <f t="shared" si="92"/>
        <v>0</v>
      </c>
      <c r="GX42" s="52">
        <f t="shared" si="93"/>
        <v>0</v>
      </c>
      <c r="GY42" s="215">
        <f>IF(GU42="",0,MAX(GV42:GW42:GX42))</f>
        <v>0</v>
      </c>
      <c r="GZ42" s="115" t="str">
        <f t="shared" si="94"/>
        <v/>
      </c>
      <c r="HA42" s="51" t="str">
        <f t="shared" si="95"/>
        <v/>
      </c>
      <c r="HB42" s="51" t="str">
        <f t="shared" si="96"/>
        <v/>
      </c>
      <c r="HC42" s="49" t="str">
        <f t="shared" si="181"/>
        <v/>
      </c>
      <c r="HD42" s="52">
        <f t="shared" si="97"/>
        <v>0</v>
      </c>
      <c r="HE42" s="52">
        <f t="shared" si="98"/>
        <v>0</v>
      </c>
      <c r="HF42" s="52">
        <f t="shared" si="99"/>
        <v>0</v>
      </c>
      <c r="HG42" s="215">
        <f>IF(HC42="",0,MAX(HD42:HE42:HF42))</f>
        <v>0</v>
      </c>
      <c r="HH42" s="115" t="str">
        <f t="shared" si="100"/>
        <v/>
      </c>
      <c r="HI42" s="51" t="str">
        <f t="shared" si="101"/>
        <v/>
      </c>
      <c r="HJ42" s="51" t="str">
        <f t="shared" si="102"/>
        <v/>
      </c>
      <c r="HK42" s="49" t="str">
        <f t="shared" si="182"/>
        <v/>
      </c>
      <c r="HL42" s="52">
        <f t="shared" si="103"/>
        <v>0</v>
      </c>
      <c r="HM42" s="52">
        <f t="shared" si="104"/>
        <v>0</v>
      </c>
      <c r="HN42" s="52">
        <f t="shared" si="105"/>
        <v>0</v>
      </c>
      <c r="HO42" s="215">
        <f>IF(HK42="",0,MAX(HL42:HM42:HN42))</f>
        <v>0</v>
      </c>
      <c r="HP42" s="115" t="str">
        <f t="shared" si="106"/>
        <v/>
      </c>
      <c r="HQ42" s="51" t="str">
        <f t="shared" si="107"/>
        <v/>
      </c>
      <c r="HR42" s="51" t="str">
        <f t="shared" si="108"/>
        <v/>
      </c>
      <c r="HS42" s="49" t="str">
        <f t="shared" si="183"/>
        <v/>
      </c>
      <c r="HT42" s="52">
        <f t="shared" si="109"/>
        <v>0</v>
      </c>
      <c r="HU42" s="52">
        <f t="shared" si="110"/>
        <v>0</v>
      </c>
      <c r="HV42" s="52">
        <f t="shared" si="111"/>
        <v>0</v>
      </c>
      <c r="HW42" s="215">
        <f>IF(HS42="",0,MAX(HT42:HU42:HV42))</f>
        <v>0</v>
      </c>
      <c r="HX42" s="115" t="str">
        <f t="shared" si="112"/>
        <v/>
      </c>
      <c r="HY42" s="51" t="str">
        <f t="shared" si="113"/>
        <v/>
      </c>
      <c r="HZ42" s="51" t="str">
        <f t="shared" si="114"/>
        <v/>
      </c>
      <c r="IA42" s="49" t="str">
        <f t="shared" si="184"/>
        <v/>
      </c>
      <c r="IB42" s="52">
        <f t="shared" si="115"/>
        <v>0</v>
      </c>
      <c r="IC42" s="52">
        <f t="shared" si="116"/>
        <v>0</v>
      </c>
      <c r="ID42" s="52">
        <f t="shared" si="117"/>
        <v>0</v>
      </c>
      <c r="IE42" s="215">
        <f>IF(IA42="",0,MAX(IB42:IC42:ID42))</f>
        <v>0</v>
      </c>
      <c r="IF42" s="115" t="str">
        <f t="shared" si="118"/>
        <v/>
      </c>
      <c r="IG42" s="51" t="str">
        <f t="shared" si="119"/>
        <v/>
      </c>
      <c r="IH42" s="51" t="str">
        <f t="shared" si="120"/>
        <v/>
      </c>
      <c r="II42" s="49" t="str">
        <f t="shared" si="185"/>
        <v/>
      </c>
      <c r="IJ42" s="52">
        <f t="shared" si="121"/>
        <v>0</v>
      </c>
      <c r="IK42" s="52">
        <f t="shared" si="122"/>
        <v>0</v>
      </c>
      <c r="IL42" s="52">
        <f t="shared" si="123"/>
        <v>0</v>
      </c>
      <c r="IM42" s="215">
        <f>IF(II42="",0,MAX(IJ42:IK42:IL42))</f>
        <v>0</v>
      </c>
      <c r="IN42" s="115" t="str">
        <f t="shared" si="124"/>
        <v/>
      </c>
      <c r="IO42" s="51" t="str">
        <f t="shared" si="125"/>
        <v/>
      </c>
      <c r="IP42" s="51" t="str">
        <f t="shared" si="126"/>
        <v/>
      </c>
      <c r="IQ42" s="49" t="str">
        <f t="shared" si="186"/>
        <v/>
      </c>
      <c r="IR42" s="52">
        <f t="shared" si="127"/>
        <v>0</v>
      </c>
      <c r="IS42" s="52">
        <f t="shared" si="128"/>
        <v>0</v>
      </c>
      <c r="IT42" s="52">
        <f t="shared" si="129"/>
        <v>0</v>
      </c>
      <c r="IU42" s="215">
        <f>IF(IQ42="",0,MAX(IR42:IS42:IT42))</f>
        <v>0</v>
      </c>
    </row>
    <row r="43" spans="1:256" s="16" customFormat="1" ht="18" customHeight="1" thickTop="1" thickBot="1" x14ac:dyDescent="0.35">
      <c r="A43" s="902" t="str">
        <f t="shared" si="130"/>
        <v/>
      </c>
      <c r="B43" s="903"/>
      <c r="C43" s="708"/>
      <c r="D43" s="709" t="str">
        <f t="shared" si="131"/>
        <v/>
      </c>
      <c r="E43" s="843" t="str">
        <f>IF(D43="","",SUM(D$30:D43))</f>
        <v/>
      </c>
      <c r="F43" s="951"/>
      <c r="G43" s="952"/>
      <c r="H43" s="953"/>
      <c r="I43" s="954"/>
      <c r="J43" s="955"/>
      <c r="K43" s="956"/>
      <c r="L43" s="925"/>
      <c r="M43" s="927" t="str">
        <f t="shared" si="132"/>
        <v/>
      </c>
      <c r="N43" s="934" t="str">
        <f>IF(AND(H43="",I43=""),"",IF($D$19="x",1,IF($K$16="",LOOKUP((H43+I43),'Quadro 2 Ordenado'!$B$6:'Quadro 2 Ordenado'!$B$107,'Quadro 2 Ordenado'!$C$6:'Quadro 2 Ordenado'!$C$107),LOOKUP((H43+I43),'Quadro 2 Ordenado'!$B$6:'Quadro 2 Ordenado'!$B$107,'Quadro 2 Ordenado'!$D$6:'Quadro 2 Ordenado'!$D$107))))</f>
        <v/>
      </c>
      <c r="O43" s="50"/>
      <c r="P43" s="928" t="str">
        <f t="shared" si="133"/>
        <v/>
      </c>
      <c r="S43" s="935" t="str">
        <f t="shared" si="5"/>
        <v/>
      </c>
      <c r="T43" s="111" t="str">
        <f t="shared" si="6"/>
        <v/>
      </c>
      <c r="U43" s="926"/>
      <c r="V43" s="610" t="str">
        <f t="shared" si="192"/>
        <v/>
      </c>
      <c r="W43" s="936" t="str">
        <f>IF(OR(T43="",T43=0),"",IF($V43&gt;'Quadro 3'!$F$23,'Quadro 3'!$F$23,IF($V43&lt;'Quadro 3'!$F$10,'Quadro 3'!$F$10,MIN($X43,$Y43))))</f>
        <v/>
      </c>
      <c r="X43" s="937" t="str">
        <f>IF($V43&lt;='Quadro 3'!$F$10,'Quadro 3'!$F$10,IF($V43&lt;='Quadro 3'!$F$11,'Quadro 3'!$F$11,IF($V43&lt;='Quadro 3'!$F$12,'Quadro 3'!$F$12,IF($V43&lt;='Quadro 3'!$F$13,'Quadro 3'!$F$13,IF($V43&lt;='Quadro 3'!$F$14,'Quadro 3'!$F$14,IF($V43&lt;='Quadro 3'!$F$15,'Quadro 3'!$F$15,IF($V43&lt;='Quadro 3'!$F$16,'Quadro 3'!$F$16,"")))))))</f>
        <v/>
      </c>
      <c r="Y43" s="938" t="str">
        <f>IF(OR(T43="",T43=0),"",IF($V43&lt;='Quadro 3'!$F$17,'Quadro 3'!$F$17,IF($V43&lt;='Quadro 3'!$F$18,'Quadro 3'!$F$18,IF($V43&lt;='Quadro 3'!$F$19,'Quadro 3'!$F$19,IF($V43&lt;='Quadro 3'!$F$20,'Quadro 3'!$F$20,IF($V43&lt;='Quadro 3'!$F$21,'Quadro 3'!$F$21,IF($V43&lt;='Quadro 3'!$F$22,'Quadro 3'!$F$22,IF($V43&lt;='Quadro 3'!$F$23,'Quadro 3'!$F$23,'Quadro 3'!$F$23))))))))</f>
        <v/>
      </c>
      <c r="Z43" s="936" t="str">
        <f>IF($W43="","",LOOKUP($W43,'Quadro 3'!$F$9:$F$23,'Quadro 3'!$G$9:$G$23))</f>
        <v/>
      </c>
      <c r="AA43" s="1129" t="str">
        <f>IF($W43="","",LOOKUP($W43,'Quadro 3'!$F$9:$F$23,'Quadro 3'!$D$9:$D$23))</f>
        <v/>
      </c>
      <c r="AB43" s="939" t="str">
        <f>IF($W43="","",LOOKUP($W43,'Quadro 3'!$F$9:$F$23,'Quadro 3'!$E$9:$E$23))</f>
        <v/>
      </c>
      <c r="AC43" s="929" t="str">
        <f t="shared" si="7"/>
        <v/>
      </c>
      <c r="AD43" s="1151" t="str">
        <f t="shared" si="134"/>
        <v/>
      </c>
      <c r="AE43" s="1152"/>
      <c r="AF43" s="1121" t="str">
        <f t="shared" si="8"/>
        <v/>
      </c>
      <c r="AG43" s="1123" t="str">
        <f t="shared" si="135"/>
        <v/>
      </c>
      <c r="AH43" s="931" t="str">
        <f t="shared" si="9"/>
        <v/>
      </c>
      <c r="AI43" s="932" t="str">
        <f t="shared" si="10"/>
        <v/>
      </c>
      <c r="AJ43" s="1153" t="str">
        <f t="shared" si="11"/>
        <v/>
      </c>
      <c r="AK43" s="1154"/>
      <c r="AL43" s="933" t="str">
        <f t="shared" si="136"/>
        <v/>
      </c>
      <c r="AM43" s="1138" t="str">
        <f t="shared" si="12"/>
        <v/>
      </c>
      <c r="AN43" s="1139"/>
      <c r="AO43" s="1140"/>
      <c r="AQ43" s="1126"/>
      <c r="AU43" s="1116">
        <f t="shared" si="187"/>
        <v>0</v>
      </c>
      <c r="AV43" s="350" t="str">
        <f t="shared" si="137"/>
        <v/>
      </c>
      <c r="AW43" s="241">
        <f t="shared" si="13"/>
        <v>0</v>
      </c>
      <c r="AX43" s="241" t="str">
        <f t="shared" si="14"/>
        <v/>
      </c>
      <c r="AY43" s="241" t="str">
        <f t="shared" si="15"/>
        <v/>
      </c>
      <c r="AZ43" s="241" t="str">
        <f t="shared" si="16"/>
        <v/>
      </c>
      <c r="BA43" s="2"/>
      <c r="BB43" s="2"/>
      <c r="BC43" s="2"/>
      <c r="BD43" s="2"/>
      <c r="BE43" s="2"/>
      <c r="BF43" s="2"/>
      <c r="BG43" s="2"/>
      <c r="BH43" s="2"/>
      <c r="BI43" s="350" t="str">
        <f t="shared" si="138"/>
        <v>0</v>
      </c>
      <c r="BJ43" s="350">
        <f t="shared" si="139"/>
        <v>0</v>
      </c>
      <c r="BK43" s="911" t="str">
        <f t="shared" si="140"/>
        <v>NA</v>
      </c>
      <c r="BL43" s="911" t="str">
        <f t="shared" si="141"/>
        <v/>
      </c>
      <c r="BM43" s="911" t="str">
        <f t="shared" si="142"/>
        <v/>
      </c>
      <c r="BN43" s="2"/>
      <c r="BO43" s="2"/>
      <c r="BP43" s="2"/>
      <c r="BQ43" s="2"/>
      <c r="BR43" s="2"/>
      <c r="BS43" s="2"/>
      <c r="BT43" s="2"/>
      <c r="BU43" s="2"/>
      <c r="BV43" s="350" t="str">
        <f t="shared" si="143"/>
        <v/>
      </c>
      <c r="BW43" s="235" t="str">
        <f t="shared" si="144"/>
        <v/>
      </c>
      <c r="BX43" s="235" t="str">
        <f t="shared" si="145"/>
        <v/>
      </c>
      <c r="BY43" s="235" t="str">
        <f t="shared" si="146"/>
        <v/>
      </c>
      <c r="BZ43" s="235" t="str">
        <f t="shared" si="147"/>
        <v/>
      </c>
      <c r="CA43" s="235" t="str">
        <f t="shared" si="148"/>
        <v/>
      </c>
      <c r="CB43" s="235" t="str">
        <f t="shared" si="149"/>
        <v/>
      </c>
      <c r="CC43" s="235" t="str">
        <f t="shared" si="150"/>
        <v/>
      </c>
      <c r="CD43" s="235" t="str">
        <f t="shared" si="151"/>
        <v/>
      </c>
      <c r="CE43" s="235" t="str">
        <f t="shared" si="152"/>
        <v/>
      </c>
      <c r="CF43" s="235" t="str">
        <f t="shared" si="153"/>
        <v/>
      </c>
      <c r="CG43" s="235" t="str">
        <f t="shared" si="154"/>
        <v/>
      </c>
      <c r="CH43" s="235" t="str">
        <f t="shared" si="155"/>
        <v/>
      </c>
      <c r="CI43" s="235" t="str">
        <f t="shared" si="156"/>
        <v/>
      </c>
      <c r="CJ43" s="235" t="str">
        <f t="shared" si="157"/>
        <v/>
      </c>
      <c r="CK43" s="235" t="str">
        <f t="shared" si="158"/>
        <v/>
      </c>
      <c r="CL43" s="235" t="str">
        <f t="shared" si="159"/>
        <v/>
      </c>
      <c r="CM43" s="235" t="str">
        <f t="shared" si="160"/>
        <v/>
      </c>
      <c r="CN43" s="235" t="str">
        <f t="shared" si="161"/>
        <v/>
      </c>
      <c r="CO43" s="235" t="str">
        <f t="shared" si="162"/>
        <v/>
      </c>
      <c r="CP43" s="235" t="str">
        <f t="shared" si="163"/>
        <v/>
      </c>
      <c r="CQ43" s="2">
        <v>14</v>
      </c>
      <c r="CR43" s="207" t="str">
        <f t="shared" si="164"/>
        <v/>
      </c>
      <c r="CS43" s="227" t="str">
        <f t="shared" si="165"/>
        <v/>
      </c>
      <c r="CT43" s="209" t="str">
        <f t="shared" si="188"/>
        <v/>
      </c>
      <c r="CU43" s="227" t="str">
        <f t="shared" si="17"/>
        <v/>
      </c>
      <c r="CV43" s="43">
        <f t="shared" si="189"/>
        <v>0</v>
      </c>
      <c r="CW43" s="209" t="str">
        <f t="shared" si="190"/>
        <v/>
      </c>
      <c r="CX43" s="204" t="str">
        <f t="shared" si="191"/>
        <v/>
      </c>
      <c r="CY43" s="43">
        <f t="shared" si="166"/>
        <v>0</v>
      </c>
      <c r="CZ43" s="44">
        <f t="shared" si="193"/>
        <v>0</v>
      </c>
      <c r="DA43" s="45">
        <f t="shared" si="167"/>
        <v>0</v>
      </c>
      <c r="DB43" s="46">
        <f t="shared" si="18"/>
        <v>0</v>
      </c>
      <c r="DC43" s="47" t="str">
        <f t="shared" si="168"/>
        <v/>
      </c>
      <c r="DD43" s="52">
        <f t="shared" si="19"/>
        <v>0</v>
      </c>
      <c r="DE43" s="52">
        <f t="shared" si="20"/>
        <v>0</v>
      </c>
      <c r="DF43" s="52">
        <f t="shared" si="21"/>
        <v>0</v>
      </c>
      <c r="DG43" s="215">
        <f>IF(DC43="",0,MAX(DD43:DE43:DF43))</f>
        <v>0</v>
      </c>
      <c r="DH43" s="115" t="str">
        <f t="shared" si="22"/>
        <v/>
      </c>
      <c r="DI43" s="51" t="str">
        <f t="shared" si="23"/>
        <v/>
      </c>
      <c r="DJ43" s="51" t="str">
        <f t="shared" si="24"/>
        <v/>
      </c>
      <c r="DK43" s="49" t="str">
        <f t="shared" si="169"/>
        <v/>
      </c>
      <c r="DL43" s="52">
        <f t="shared" si="25"/>
        <v>0</v>
      </c>
      <c r="DM43" s="52">
        <f t="shared" si="26"/>
        <v>0</v>
      </c>
      <c r="DN43" s="52">
        <f t="shared" si="27"/>
        <v>0</v>
      </c>
      <c r="DO43" s="215">
        <f>IF(DK43="",0,MAX(DL43:DM43:DN43))</f>
        <v>0</v>
      </c>
      <c r="DP43" s="115" t="str">
        <f t="shared" si="28"/>
        <v/>
      </c>
      <c r="DQ43" s="51" t="str">
        <f t="shared" si="29"/>
        <v/>
      </c>
      <c r="DR43" s="51" t="str">
        <f t="shared" si="30"/>
        <v/>
      </c>
      <c r="DS43" s="49" t="str">
        <f t="shared" si="170"/>
        <v/>
      </c>
      <c r="DT43" s="52">
        <f t="shared" si="31"/>
        <v>0</v>
      </c>
      <c r="DU43" s="52">
        <f t="shared" si="32"/>
        <v>0</v>
      </c>
      <c r="DV43" s="52">
        <f t="shared" si="33"/>
        <v>0</v>
      </c>
      <c r="DW43" s="215">
        <f>IF(DS43="",0,MAX(DT43:DU43:DV43))</f>
        <v>0</v>
      </c>
      <c r="DX43" s="115" t="str">
        <f t="shared" si="34"/>
        <v/>
      </c>
      <c r="DY43" s="51" t="str">
        <f t="shared" si="35"/>
        <v/>
      </c>
      <c r="DZ43" s="51" t="str">
        <f t="shared" si="36"/>
        <v/>
      </c>
      <c r="EA43" s="49" t="str">
        <f t="shared" si="171"/>
        <v/>
      </c>
      <c r="EB43" s="52">
        <f t="shared" si="37"/>
        <v>0</v>
      </c>
      <c r="EC43" s="52">
        <f t="shared" si="38"/>
        <v>0</v>
      </c>
      <c r="ED43" s="52">
        <f t="shared" si="39"/>
        <v>0</v>
      </c>
      <c r="EE43" s="215">
        <f>IF(EA43="",0,MAX(EB43:EC43:ED43))</f>
        <v>0</v>
      </c>
      <c r="EF43" s="115" t="str">
        <f t="shared" si="40"/>
        <v/>
      </c>
      <c r="EG43" s="51" t="str">
        <f t="shared" si="41"/>
        <v/>
      </c>
      <c r="EH43" s="51" t="str">
        <f t="shared" si="42"/>
        <v/>
      </c>
      <c r="EI43" s="49" t="str">
        <f t="shared" si="172"/>
        <v/>
      </c>
      <c r="EJ43" s="52">
        <f t="shared" si="43"/>
        <v>0</v>
      </c>
      <c r="EK43" s="52">
        <f t="shared" si="44"/>
        <v>0</v>
      </c>
      <c r="EL43" s="52">
        <f t="shared" si="45"/>
        <v>0</v>
      </c>
      <c r="EM43" s="215">
        <f>IF(EI43="",0,MAX(EJ43:EK43:EL43))</f>
        <v>0</v>
      </c>
      <c r="EN43" s="115" t="str">
        <f t="shared" si="46"/>
        <v/>
      </c>
      <c r="EO43" s="51" t="str">
        <f t="shared" si="47"/>
        <v/>
      </c>
      <c r="EP43" s="51" t="str">
        <f t="shared" si="48"/>
        <v/>
      </c>
      <c r="EQ43" s="49" t="str">
        <f t="shared" si="173"/>
        <v/>
      </c>
      <c r="ER43" s="52">
        <f t="shared" si="49"/>
        <v>0</v>
      </c>
      <c r="ES43" s="52">
        <f t="shared" si="50"/>
        <v>0</v>
      </c>
      <c r="ET43" s="52">
        <f t="shared" si="51"/>
        <v>0</v>
      </c>
      <c r="EU43" s="215">
        <f>IF(EQ43="",0,MAX(ER43:ES43:ET43))</f>
        <v>0</v>
      </c>
      <c r="EV43" s="115" t="str">
        <f t="shared" si="52"/>
        <v/>
      </c>
      <c r="EW43" s="51" t="str">
        <f t="shared" si="53"/>
        <v/>
      </c>
      <c r="EX43" s="51" t="str">
        <f t="shared" si="54"/>
        <v/>
      </c>
      <c r="EY43" s="49" t="str">
        <f t="shared" si="174"/>
        <v/>
      </c>
      <c r="EZ43" s="52">
        <f t="shared" si="55"/>
        <v>0</v>
      </c>
      <c r="FA43" s="52">
        <f t="shared" si="56"/>
        <v>0</v>
      </c>
      <c r="FB43" s="52">
        <f t="shared" si="57"/>
        <v>0</v>
      </c>
      <c r="FC43" s="215">
        <f>IF(EY43="",0,MAX(EZ43:FA43:FB43))</f>
        <v>0</v>
      </c>
      <c r="FD43" s="115" t="str">
        <f t="shared" si="58"/>
        <v/>
      </c>
      <c r="FE43" s="51" t="str">
        <f t="shared" si="59"/>
        <v/>
      </c>
      <c r="FF43" s="51" t="str">
        <f t="shared" si="60"/>
        <v/>
      </c>
      <c r="FG43" s="49" t="str">
        <f t="shared" si="175"/>
        <v/>
      </c>
      <c r="FH43" s="52">
        <f t="shared" si="61"/>
        <v>0</v>
      </c>
      <c r="FI43" s="52">
        <f t="shared" si="62"/>
        <v>0</v>
      </c>
      <c r="FJ43" s="52">
        <f t="shared" si="63"/>
        <v>0</v>
      </c>
      <c r="FK43" s="215">
        <f>IF(FG43="",0,MAX(FH43:FI43:FJ43))</f>
        <v>0</v>
      </c>
      <c r="FL43" s="115" t="str">
        <f t="shared" si="64"/>
        <v/>
      </c>
      <c r="FM43" s="51" t="str">
        <f t="shared" si="65"/>
        <v/>
      </c>
      <c r="FN43" s="51" t="str">
        <f t="shared" si="66"/>
        <v/>
      </c>
      <c r="FO43" s="49" t="str">
        <f t="shared" si="176"/>
        <v/>
      </c>
      <c r="FP43" s="52">
        <f t="shared" si="67"/>
        <v>0</v>
      </c>
      <c r="FQ43" s="52">
        <f t="shared" si="68"/>
        <v>0</v>
      </c>
      <c r="FR43" s="52">
        <f t="shared" si="69"/>
        <v>0</v>
      </c>
      <c r="FS43" s="215">
        <f>IF(FO43="",0,MAX(FP43:FQ43:FR43))</f>
        <v>0</v>
      </c>
      <c r="FT43" s="115" t="str">
        <f t="shared" si="70"/>
        <v/>
      </c>
      <c r="FU43" s="51" t="str">
        <f t="shared" si="71"/>
        <v/>
      </c>
      <c r="FV43" s="51" t="str">
        <f t="shared" si="72"/>
        <v/>
      </c>
      <c r="FW43" s="49" t="str">
        <f t="shared" si="177"/>
        <v/>
      </c>
      <c r="FX43" s="52">
        <f t="shared" si="73"/>
        <v>0</v>
      </c>
      <c r="FY43" s="52">
        <f t="shared" si="74"/>
        <v>0</v>
      </c>
      <c r="FZ43" s="52">
        <f t="shared" si="75"/>
        <v>0</v>
      </c>
      <c r="GA43" s="215">
        <f>IF(FW43="",0,MAX(FX43:FY43:FZ43))</f>
        <v>0</v>
      </c>
      <c r="GB43" s="115" t="str">
        <f t="shared" si="76"/>
        <v/>
      </c>
      <c r="GC43" s="51" t="str">
        <f t="shared" si="77"/>
        <v/>
      </c>
      <c r="GD43" s="51" t="str">
        <f t="shared" si="78"/>
        <v/>
      </c>
      <c r="GE43" s="49" t="str">
        <f t="shared" si="178"/>
        <v/>
      </c>
      <c r="GF43" s="52">
        <f t="shared" si="79"/>
        <v>0</v>
      </c>
      <c r="GG43" s="52">
        <f t="shared" si="80"/>
        <v>0</v>
      </c>
      <c r="GH43" s="52">
        <f t="shared" si="81"/>
        <v>0</v>
      </c>
      <c r="GI43" s="215">
        <f>IF(GE43="",0,MAX(GF43:GG43:GH43))</f>
        <v>0</v>
      </c>
      <c r="GJ43" s="115" t="str">
        <f t="shared" si="82"/>
        <v/>
      </c>
      <c r="GK43" s="51" t="str">
        <f t="shared" si="83"/>
        <v/>
      </c>
      <c r="GL43" s="51" t="str">
        <f t="shared" si="84"/>
        <v/>
      </c>
      <c r="GM43" s="49" t="str">
        <f t="shared" si="179"/>
        <v/>
      </c>
      <c r="GN43" s="52">
        <f t="shared" si="85"/>
        <v>0</v>
      </c>
      <c r="GO43" s="52">
        <f t="shared" si="86"/>
        <v>0</v>
      </c>
      <c r="GP43" s="52">
        <f t="shared" si="87"/>
        <v>0</v>
      </c>
      <c r="GQ43" s="215">
        <f>IF(GM43="",0,MAX(GN43:GO43:GP43))</f>
        <v>0</v>
      </c>
      <c r="GR43" s="115" t="str">
        <f t="shared" si="88"/>
        <v/>
      </c>
      <c r="GS43" s="51" t="str">
        <f t="shared" si="89"/>
        <v/>
      </c>
      <c r="GT43" s="51" t="str">
        <f t="shared" si="90"/>
        <v/>
      </c>
      <c r="GU43" s="49" t="str">
        <f t="shared" si="180"/>
        <v/>
      </c>
      <c r="GV43" s="52">
        <f t="shared" si="91"/>
        <v>0</v>
      </c>
      <c r="GW43" s="52">
        <f t="shared" si="92"/>
        <v>0</v>
      </c>
      <c r="GX43" s="52">
        <f t="shared" si="93"/>
        <v>0</v>
      </c>
      <c r="GY43" s="215">
        <f>IF(GU43="",0,MAX(GV43:GW43:GX43))</f>
        <v>0</v>
      </c>
      <c r="GZ43" s="115" t="str">
        <f t="shared" si="94"/>
        <v/>
      </c>
      <c r="HA43" s="51" t="str">
        <f t="shared" si="95"/>
        <v/>
      </c>
      <c r="HB43" s="51" t="str">
        <f t="shared" si="96"/>
        <v/>
      </c>
      <c r="HC43" s="49" t="str">
        <f t="shared" si="181"/>
        <v/>
      </c>
      <c r="HD43" s="52">
        <f t="shared" si="97"/>
        <v>0</v>
      </c>
      <c r="HE43" s="52">
        <f t="shared" si="98"/>
        <v>0</v>
      </c>
      <c r="HF43" s="52">
        <f t="shared" si="99"/>
        <v>0</v>
      </c>
      <c r="HG43" s="215">
        <f>IF(HC43="",0,MAX(HD43:HE43:HF43))</f>
        <v>0</v>
      </c>
      <c r="HH43" s="115" t="str">
        <f t="shared" si="100"/>
        <v/>
      </c>
      <c r="HI43" s="51" t="str">
        <f t="shared" si="101"/>
        <v/>
      </c>
      <c r="HJ43" s="51" t="str">
        <f t="shared" si="102"/>
        <v/>
      </c>
      <c r="HK43" s="49" t="str">
        <f t="shared" si="182"/>
        <v/>
      </c>
      <c r="HL43" s="52">
        <f t="shared" si="103"/>
        <v>0</v>
      </c>
      <c r="HM43" s="52">
        <f t="shared" si="104"/>
        <v>0</v>
      </c>
      <c r="HN43" s="52">
        <f t="shared" si="105"/>
        <v>0</v>
      </c>
      <c r="HO43" s="215">
        <f>IF(HK43="",0,MAX(HL43:HM43:HN43))</f>
        <v>0</v>
      </c>
      <c r="HP43" s="115" t="str">
        <f t="shared" si="106"/>
        <v/>
      </c>
      <c r="HQ43" s="51" t="str">
        <f t="shared" si="107"/>
        <v/>
      </c>
      <c r="HR43" s="51" t="str">
        <f t="shared" si="108"/>
        <v/>
      </c>
      <c r="HS43" s="49" t="str">
        <f t="shared" si="183"/>
        <v/>
      </c>
      <c r="HT43" s="52">
        <f t="shared" si="109"/>
        <v>0</v>
      </c>
      <c r="HU43" s="52">
        <f t="shared" si="110"/>
        <v>0</v>
      </c>
      <c r="HV43" s="52">
        <f t="shared" si="111"/>
        <v>0</v>
      </c>
      <c r="HW43" s="215">
        <f>IF(HS43="",0,MAX(HT43:HU43:HV43))</f>
        <v>0</v>
      </c>
      <c r="HX43" s="115" t="str">
        <f t="shared" si="112"/>
        <v/>
      </c>
      <c r="HY43" s="51" t="str">
        <f t="shared" si="113"/>
        <v/>
      </c>
      <c r="HZ43" s="51" t="str">
        <f t="shared" si="114"/>
        <v/>
      </c>
      <c r="IA43" s="49" t="str">
        <f t="shared" si="184"/>
        <v/>
      </c>
      <c r="IB43" s="52">
        <f t="shared" si="115"/>
        <v>0</v>
      </c>
      <c r="IC43" s="52">
        <f t="shared" si="116"/>
        <v>0</v>
      </c>
      <c r="ID43" s="52">
        <f t="shared" si="117"/>
        <v>0</v>
      </c>
      <c r="IE43" s="215">
        <f>IF(IA43="",0,MAX(IB43:IC43:ID43))</f>
        <v>0</v>
      </c>
      <c r="IF43" s="115" t="str">
        <f t="shared" si="118"/>
        <v/>
      </c>
      <c r="IG43" s="51" t="str">
        <f t="shared" si="119"/>
        <v/>
      </c>
      <c r="IH43" s="51" t="str">
        <f t="shared" si="120"/>
        <v/>
      </c>
      <c r="II43" s="49" t="str">
        <f t="shared" si="185"/>
        <v/>
      </c>
      <c r="IJ43" s="52">
        <f t="shared" si="121"/>
        <v>0</v>
      </c>
      <c r="IK43" s="52">
        <f t="shared" si="122"/>
        <v>0</v>
      </c>
      <c r="IL43" s="52">
        <f t="shared" si="123"/>
        <v>0</v>
      </c>
      <c r="IM43" s="215">
        <f>IF(II43="",0,MAX(IJ43:IK43:IL43))</f>
        <v>0</v>
      </c>
      <c r="IN43" s="115" t="str">
        <f t="shared" si="124"/>
        <v/>
      </c>
      <c r="IO43" s="51" t="str">
        <f t="shared" si="125"/>
        <v/>
      </c>
      <c r="IP43" s="51" t="str">
        <f t="shared" si="126"/>
        <v/>
      </c>
      <c r="IQ43" s="49" t="str">
        <f t="shared" si="186"/>
        <v/>
      </c>
      <c r="IR43" s="52">
        <f t="shared" si="127"/>
        <v>0</v>
      </c>
      <c r="IS43" s="52">
        <f t="shared" si="128"/>
        <v>0</v>
      </c>
      <c r="IT43" s="52">
        <f t="shared" si="129"/>
        <v>0</v>
      </c>
      <c r="IU43" s="215">
        <f>IF(IQ43="",0,MAX(IR43:IS43:IT43))</f>
        <v>0</v>
      </c>
    </row>
    <row r="44" spans="1:256" s="16" customFormat="1" ht="18" customHeight="1" thickTop="1" thickBot="1" x14ac:dyDescent="0.35">
      <c r="A44" s="902" t="str">
        <f t="shared" si="130"/>
        <v/>
      </c>
      <c r="B44" s="903"/>
      <c r="C44" s="708"/>
      <c r="D44" s="709" t="str">
        <f t="shared" si="131"/>
        <v/>
      </c>
      <c r="E44" s="843" t="str">
        <f>IF(D44="","",SUM(D$30:D44))</f>
        <v/>
      </c>
      <c r="F44" s="951"/>
      <c r="G44" s="952"/>
      <c r="H44" s="953"/>
      <c r="I44" s="954"/>
      <c r="J44" s="955"/>
      <c r="K44" s="956"/>
      <c r="L44" s="925"/>
      <c r="M44" s="927" t="str">
        <f t="shared" si="132"/>
        <v/>
      </c>
      <c r="N44" s="934" t="str">
        <f>IF(AND(H44="",I44=""),"",IF($D$19="x",1,IF($K$16="",LOOKUP((H44+I44),'Quadro 2 Ordenado'!$B$6:'Quadro 2 Ordenado'!$B$107,'Quadro 2 Ordenado'!$C$6:'Quadro 2 Ordenado'!$C$107),LOOKUP((H44+I44),'Quadro 2 Ordenado'!$B$6:'Quadro 2 Ordenado'!$B$107,'Quadro 2 Ordenado'!$D$6:'Quadro 2 Ordenado'!$D$107))))</f>
        <v/>
      </c>
      <c r="O44" s="50"/>
      <c r="P44" s="928" t="str">
        <f t="shared" si="133"/>
        <v/>
      </c>
      <c r="S44" s="935" t="str">
        <f t="shared" si="5"/>
        <v/>
      </c>
      <c r="T44" s="111" t="str">
        <f t="shared" si="6"/>
        <v/>
      </c>
      <c r="U44" s="926"/>
      <c r="V44" s="610" t="str">
        <f t="shared" si="192"/>
        <v/>
      </c>
      <c r="W44" s="936" t="str">
        <f>IF(OR(T44="",T44=0),"",IF($V44&gt;'Quadro 3'!$F$23,'Quadro 3'!$F$23,IF($V44&lt;'Quadro 3'!$F$10,'Quadro 3'!$F$10,MIN($X44,$Y44))))</f>
        <v/>
      </c>
      <c r="X44" s="937" t="str">
        <f>IF($V44&lt;='Quadro 3'!$F$10,'Quadro 3'!$F$10,IF($V44&lt;='Quadro 3'!$F$11,'Quadro 3'!$F$11,IF($V44&lt;='Quadro 3'!$F$12,'Quadro 3'!$F$12,IF($V44&lt;='Quadro 3'!$F$13,'Quadro 3'!$F$13,IF($V44&lt;='Quadro 3'!$F$14,'Quadro 3'!$F$14,IF($V44&lt;='Quadro 3'!$F$15,'Quadro 3'!$F$15,IF($V44&lt;='Quadro 3'!$F$16,'Quadro 3'!$F$16,"")))))))</f>
        <v/>
      </c>
      <c r="Y44" s="938" t="str">
        <f>IF(OR(T44="",T44=0),"",IF($V44&lt;='Quadro 3'!$F$17,'Quadro 3'!$F$17,IF($V44&lt;='Quadro 3'!$F$18,'Quadro 3'!$F$18,IF($V44&lt;='Quadro 3'!$F$19,'Quadro 3'!$F$19,IF($V44&lt;='Quadro 3'!$F$20,'Quadro 3'!$F$20,IF($V44&lt;='Quadro 3'!$F$21,'Quadro 3'!$F$21,IF($V44&lt;='Quadro 3'!$F$22,'Quadro 3'!$F$22,IF($V44&lt;='Quadro 3'!$F$23,'Quadro 3'!$F$23,'Quadro 3'!$F$23))))))))</f>
        <v/>
      </c>
      <c r="Z44" s="936" t="str">
        <f>IF($W44="","",LOOKUP($W44,'Quadro 3'!$F$9:$F$23,'Quadro 3'!$G$9:$G$23))</f>
        <v/>
      </c>
      <c r="AA44" s="1129" t="str">
        <f>IF($W44="","",LOOKUP($W44,'Quadro 3'!$F$9:$F$23,'Quadro 3'!$D$9:$D$23))</f>
        <v/>
      </c>
      <c r="AB44" s="939" t="str">
        <f>IF($W44="","",LOOKUP($W44,'Quadro 3'!$F$9:$F$23,'Quadro 3'!$E$9:$E$23))</f>
        <v/>
      </c>
      <c r="AC44" s="929" t="str">
        <f t="shared" si="7"/>
        <v/>
      </c>
      <c r="AD44" s="1151" t="str">
        <f t="shared" si="134"/>
        <v/>
      </c>
      <c r="AE44" s="1152"/>
      <c r="AF44" s="1121" t="str">
        <f t="shared" si="8"/>
        <v/>
      </c>
      <c r="AG44" s="1123" t="str">
        <f t="shared" si="135"/>
        <v/>
      </c>
      <c r="AH44" s="931" t="str">
        <f t="shared" si="9"/>
        <v/>
      </c>
      <c r="AI44" s="932" t="str">
        <f t="shared" si="10"/>
        <v/>
      </c>
      <c r="AJ44" s="1153" t="str">
        <f t="shared" si="11"/>
        <v/>
      </c>
      <c r="AK44" s="1154"/>
      <c r="AL44" s="933" t="str">
        <f t="shared" si="136"/>
        <v/>
      </c>
      <c r="AM44" s="1138" t="str">
        <f t="shared" si="12"/>
        <v/>
      </c>
      <c r="AN44" s="1139"/>
      <c r="AO44" s="1140"/>
      <c r="AQ44" s="1126"/>
      <c r="AU44" s="1116">
        <f t="shared" si="187"/>
        <v>0</v>
      </c>
      <c r="AV44" s="350" t="str">
        <f t="shared" si="137"/>
        <v/>
      </c>
      <c r="AW44" s="241">
        <f t="shared" si="13"/>
        <v>0</v>
      </c>
      <c r="AX44" s="241" t="str">
        <f t="shared" si="14"/>
        <v/>
      </c>
      <c r="AY44" s="241" t="str">
        <f t="shared" si="15"/>
        <v/>
      </c>
      <c r="AZ44" s="241" t="str">
        <f t="shared" si="16"/>
        <v/>
      </c>
      <c r="BA44" s="2"/>
      <c r="BB44" s="2"/>
      <c r="BC44" s="2"/>
      <c r="BD44" s="2"/>
      <c r="BE44" s="2"/>
      <c r="BF44" s="2"/>
      <c r="BG44" s="2"/>
      <c r="BH44" s="2"/>
      <c r="BI44" s="350" t="str">
        <f t="shared" si="138"/>
        <v>0</v>
      </c>
      <c r="BJ44" s="350">
        <f t="shared" si="139"/>
        <v>0</v>
      </c>
      <c r="BK44" s="911" t="str">
        <f t="shared" si="140"/>
        <v>NA</v>
      </c>
      <c r="BL44" s="911" t="str">
        <f t="shared" si="141"/>
        <v/>
      </c>
      <c r="BM44" s="911" t="str">
        <f t="shared" si="142"/>
        <v/>
      </c>
      <c r="BN44" s="2"/>
      <c r="BO44" s="2"/>
      <c r="BP44" s="2"/>
      <c r="BQ44" s="2"/>
      <c r="BR44" s="2"/>
      <c r="BS44" s="2"/>
      <c r="BT44" s="2"/>
      <c r="BU44" s="2"/>
      <c r="BV44" s="350" t="str">
        <f t="shared" si="143"/>
        <v/>
      </c>
      <c r="BW44" s="235" t="str">
        <f t="shared" si="144"/>
        <v/>
      </c>
      <c r="BX44" s="235" t="str">
        <f t="shared" si="145"/>
        <v/>
      </c>
      <c r="BY44" s="235" t="str">
        <f t="shared" si="146"/>
        <v/>
      </c>
      <c r="BZ44" s="235" t="str">
        <f t="shared" si="147"/>
        <v/>
      </c>
      <c r="CA44" s="235" t="str">
        <f t="shared" si="148"/>
        <v/>
      </c>
      <c r="CB44" s="235" t="str">
        <f t="shared" si="149"/>
        <v/>
      </c>
      <c r="CC44" s="235" t="str">
        <f t="shared" si="150"/>
        <v/>
      </c>
      <c r="CD44" s="235" t="str">
        <f t="shared" si="151"/>
        <v/>
      </c>
      <c r="CE44" s="235" t="str">
        <f t="shared" si="152"/>
        <v/>
      </c>
      <c r="CF44" s="235" t="str">
        <f t="shared" si="153"/>
        <v/>
      </c>
      <c r="CG44" s="235" t="str">
        <f t="shared" si="154"/>
        <v/>
      </c>
      <c r="CH44" s="235" t="str">
        <f t="shared" si="155"/>
        <v/>
      </c>
      <c r="CI44" s="235" t="str">
        <f t="shared" si="156"/>
        <v/>
      </c>
      <c r="CJ44" s="235" t="str">
        <f t="shared" si="157"/>
        <v/>
      </c>
      <c r="CK44" s="235" t="str">
        <f t="shared" si="158"/>
        <v/>
      </c>
      <c r="CL44" s="235" t="str">
        <f t="shared" si="159"/>
        <v/>
      </c>
      <c r="CM44" s="235" t="str">
        <f t="shared" si="160"/>
        <v/>
      </c>
      <c r="CN44" s="235" t="str">
        <f t="shared" si="161"/>
        <v/>
      </c>
      <c r="CO44" s="235" t="str">
        <f t="shared" si="162"/>
        <v/>
      </c>
      <c r="CP44" s="235" t="str">
        <f t="shared" si="163"/>
        <v/>
      </c>
      <c r="CQ44" s="2">
        <v>15</v>
      </c>
      <c r="CR44" s="207" t="str">
        <f t="shared" si="164"/>
        <v/>
      </c>
      <c r="CS44" s="227" t="str">
        <f t="shared" si="165"/>
        <v/>
      </c>
      <c r="CT44" s="209" t="str">
        <f t="shared" si="188"/>
        <v/>
      </c>
      <c r="CU44" s="227" t="str">
        <f t="shared" si="17"/>
        <v/>
      </c>
      <c r="CV44" s="43">
        <f t="shared" si="189"/>
        <v>0</v>
      </c>
      <c r="CW44" s="209" t="str">
        <f t="shared" si="190"/>
        <v/>
      </c>
      <c r="CX44" s="204" t="str">
        <f t="shared" si="191"/>
        <v/>
      </c>
      <c r="CY44" s="43">
        <f t="shared" si="166"/>
        <v>0</v>
      </c>
      <c r="CZ44" s="44">
        <f t="shared" si="193"/>
        <v>0</v>
      </c>
      <c r="DA44" s="45">
        <f t="shared" si="167"/>
        <v>0</v>
      </c>
      <c r="DB44" s="46">
        <f t="shared" si="18"/>
        <v>0</v>
      </c>
      <c r="DC44" s="47" t="str">
        <f t="shared" si="168"/>
        <v/>
      </c>
      <c r="DD44" s="52">
        <f t="shared" si="19"/>
        <v>0</v>
      </c>
      <c r="DE44" s="52">
        <f t="shared" si="20"/>
        <v>0</v>
      </c>
      <c r="DF44" s="52">
        <f t="shared" si="21"/>
        <v>0</v>
      </c>
      <c r="DG44" s="215">
        <f>IF(DC44="",0,MAX(DD44:DE44:DF44))</f>
        <v>0</v>
      </c>
      <c r="DH44" s="115" t="str">
        <f t="shared" si="22"/>
        <v/>
      </c>
      <c r="DI44" s="51" t="str">
        <f t="shared" si="23"/>
        <v/>
      </c>
      <c r="DJ44" s="51" t="str">
        <f t="shared" si="24"/>
        <v/>
      </c>
      <c r="DK44" s="49" t="str">
        <f t="shared" si="169"/>
        <v/>
      </c>
      <c r="DL44" s="52">
        <f t="shared" si="25"/>
        <v>0</v>
      </c>
      <c r="DM44" s="52">
        <f t="shared" si="26"/>
        <v>0</v>
      </c>
      <c r="DN44" s="52">
        <f t="shared" si="27"/>
        <v>0</v>
      </c>
      <c r="DO44" s="215">
        <f>IF(DK44="",0,MAX(DL44:DM44:DN44))</f>
        <v>0</v>
      </c>
      <c r="DP44" s="115" t="str">
        <f t="shared" si="28"/>
        <v/>
      </c>
      <c r="DQ44" s="51" t="str">
        <f t="shared" si="29"/>
        <v/>
      </c>
      <c r="DR44" s="51" t="str">
        <f t="shared" si="30"/>
        <v/>
      </c>
      <c r="DS44" s="49" t="str">
        <f t="shared" si="170"/>
        <v/>
      </c>
      <c r="DT44" s="52">
        <f t="shared" si="31"/>
        <v>0</v>
      </c>
      <c r="DU44" s="52">
        <f t="shared" si="32"/>
        <v>0</v>
      </c>
      <c r="DV44" s="52">
        <f t="shared" si="33"/>
        <v>0</v>
      </c>
      <c r="DW44" s="215">
        <f>IF(DS44="",0,MAX(DT44:DU44:DV44))</f>
        <v>0</v>
      </c>
      <c r="DX44" s="115" t="str">
        <f t="shared" si="34"/>
        <v/>
      </c>
      <c r="DY44" s="51" t="str">
        <f t="shared" si="35"/>
        <v/>
      </c>
      <c r="DZ44" s="51" t="str">
        <f t="shared" si="36"/>
        <v/>
      </c>
      <c r="EA44" s="49" t="str">
        <f t="shared" si="171"/>
        <v/>
      </c>
      <c r="EB44" s="52">
        <f t="shared" si="37"/>
        <v>0</v>
      </c>
      <c r="EC44" s="52">
        <f t="shared" si="38"/>
        <v>0</v>
      </c>
      <c r="ED44" s="52">
        <f t="shared" si="39"/>
        <v>0</v>
      </c>
      <c r="EE44" s="215">
        <f>IF(EA44="",0,MAX(EB44:EC44:ED44))</f>
        <v>0</v>
      </c>
      <c r="EF44" s="115" t="str">
        <f t="shared" si="40"/>
        <v/>
      </c>
      <c r="EG44" s="51" t="str">
        <f t="shared" si="41"/>
        <v/>
      </c>
      <c r="EH44" s="51" t="str">
        <f t="shared" si="42"/>
        <v/>
      </c>
      <c r="EI44" s="49" t="str">
        <f t="shared" si="172"/>
        <v/>
      </c>
      <c r="EJ44" s="52">
        <f t="shared" si="43"/>
        <v>0</v>
      </c>
      <c r="EK44" s="52">
        <f t="shared" si="44"/>
        <v>0</v>
      </c>
      <c r="EL44" s="52">
        <f t="shared" si="45"/>
        <v>0</v>
      </c>
      <c r="EM44" s="215">
        <f>IF(EI44="",0,MAX(EJ44:EK44:EL44))</f>
        <v>0</v>
      </c>
      <c r="EN44" s="115" t="str">
        <f t="shared" si="46"/>
        <v/>
      </c>
      <c r="EO44" s="51" t="str">
        <f t="shared" si="47"/>
        <v/>
      </c>
      <c r="EP44" s="51" t="str">
        <f t="shared" si="48"/>
        <v/>
      </c>
      <c r="EQ44" s="49" t="str">
        <f t="shared" si="173"/>
        <v/>
      </c>
      <c r="ER44" s="52">
        <f t="shared" si="49"/>
        <v>0</v>
      </c>
      <c r="ES44" s="52">
        <f t="shared" si="50"/>
        <v>0</v>
      </c>
      <c r="ET44" s="52">
        <f t="shared" si="51"/>
        <v>0</v>
      </c>
      <c r="EU44" s="215">
        <f>IF(EQ44="",0,MAX(ER44:ES44:ET44))</f>
        <v>0</v>
      </c>
      <c r="EV44" s="115" t="str">
        <f t="shared" si="52"/>
        <v/>
      </c>
      <c r="EW44" s="51" t="str">
        <f t="shared" si="53"/>
        <v/>
      </c>
      <c r="EX44" s="51" t="str">
        <f t="shared" si="54"/>
        <v/>
      </c>
      <c r="EY44" s="49" t="str">
        <f t="shared" si="174"/>
        <v/>
      </c>
      <c r="EZ44" s="52">
        <f t="shared" si="55"/>
        <v>0</v>
      </c>
      <c r="FA44" s="52">
        <f t="shared" si="56"/>
        <v>0</v>
      </c>
      <c r="FB44" s="52">
        <f t="shared" si="57"/>
        <v>0</v>
      </c>
      <c r="FC44" s="215">
        <f>IF(EY44="",0,MAX(EZ44:FA44:FB44))</f>
        <v>0</v>
      </c>
      <c r="FD44" s="115" t="str">
        <f t="shared" si="58"/>
        <v/>
      </c>
      <c r="FE44" s="51" t="str">
        <f t="shared" si="59"/>
        <v/>
      </c>
      <c r="FF44" s="51" t="str">
        <f t="shared" si="60"/>
        <v/>
      </c>
      <c r="FG44" s="49" t="str">
        <f t="shared" si="175"/>
        <v/>
      </c>
      <c r="FH44" s="52">
        <f t="shared" si="61"/>
        <v>0</v>
      </c>
      <c r="FI44" s="52">
        <f t="shared" si="62"/>
        <v>0</v>
      </c>
      <c r="FJ44" s="52">
        <f t="shared" si="63"/>
        <v>0</v>
      </c>
      <c r="FK44" s="215">
        <f>IF(FG44="",0,MAX(FH44:FI44:FJ44))</f>
        <v>0</v>
      </c>
      <c r="FL44" s="115" t="str">
        <f t="shared" si="64"/>
        <v/>
      </c>
      <c r="FM44" s="51" t="str">
        <f t="shared" si="65"/>
        <v/>
      </c>
      <c r="FN44" s="51" t="str">
        <f t="shared" si="66"/>
        <v/>
      </c>
      <c r="FO44" s="49" t="str">
        <f t="shared" si="176"/>
        <v/>
      </c>
      <c r="FP44" s="52">
        <f t="shared" si="67"/>
        <v>0</v>
      </c>
      <c r="FQ44" s="52">
        <f t="shared" si="68"/>
        <v>0</v>
      </c>
      <c r="FR44" s="52">
        <f t="shared" si="69"/>
        <v>0</v>
      </c>
      <c r="FS44" s="215">
        <f>IF(FO44="",0,MAX(FP44:FQ44:FR44))</f>
        <v>0</v>
      </c>
      <c r="FT44" s="115" t="str">
        <f t="shared" si="70"/>
        <v/>
      </c>
      <c r="FU44" s="51" t="str">
        <f t="shared" si="71"/>
        <v/>
      </c>
      <c r="FV44" s="51" t="str">
        <f t="shared" si="72"/>
        <v/>
      </c>
      <c r="FW44" s="49" t="str">
        <f t="shared" si="177"/>
        <v/>
      </c>
      <c r="FX44" s="52">
        <f t="shared" si="73"/>
        <v>0</v>
      </c>
      <c r="FY44" s="52">
        <f t="shared" si="74"/>
        <v>0</v>
      </c>
      <c r="FZ44" s="52">
        <f t="shared" si="75"/>
        <v>0</v>
      </c>
      <c r="GA44" s="215">
        <f>IF(FW44="",0,MAX(FX44:FY44:FZ44))</f>
        <v>0</v>
      </c>
      <c r="GB44" s="115" t="str">
        <f t="shared" si="76"/>
        <v/>
      </c>
      <c r="GC44" s="51" t="str">
        <f t="shared" si="77"/>
        <v/>
      </c>
      <c r="GD44" s="51" t="str">
        <f t="shared" si="78"/>
        <v/>
      </c>
      <c r="GE44" s="49" t="str">
        <f t="shared" si="178"/>
        <v/>
      </c>
      <c r="GF44" s="52">
        <f t="shared" si="79"/>
        <v>0</v>
      </c>
      <c r="GG44" s="52">
        <f t="shared" si="80"/>
        <v>0</v>
      </c>
      <c r="GH44" s="52">
        <f t="shared" si="81"/>
        <v>0</v>
      </c>
      <c r="GI44" s="215">
        <f>IF(GE44="",0,MAX(GF44:GG44:GH44))</f>
        <v>0</v>
      </c>
      <c r="GJ44" s="115" t="str">
        <f t="shared" si="82"/>
        <v/>
      </c>
      <c r="GK44" s="51" t="str">
        <f t="shared" si="83"/>
        <v/>
      </c>
      <c r="GL44" s="51" t="str">
        <f t="shared" si="84"/>
        <v/>
      </c>
      <c r="GM44" s="49" t="str">
        <f t="shared" si="179"/>
        <v/>
      </c>
      <c r="GN44" s="52">
        <f t="shared" si="85"/>
        <v>0</v>
      </c>
      <c r="GO44" s="52">
        <f t="shared" si="86"/>
        <v>0</v>
      </c>
      <c r="GP44" s="52">
        <f t="shared" si="87"/>
        <v>0</v>
      </c>
      <c r="GQ44" s="215">
        <f>IF(GM44="",0,MAX(GN44:GO44:GP44))</f>
        <v>0</v>
      </c>
      <c r="GR44" s="115" t="str">
        <f t="shared" si="88"/>
        <v/>
      </c>
      <c r="GS44" s="51" t="str">
        <f t="shared" si="89"/>
        <v/>
      </c>
      <c r="GT44" s="51" t="str">
        <f t="shared" si="90"/>
        <v/>
      </c>
      <c r="GU44" s="49" t="str">
        <f t="shared" si="180"/>
        <v/>
      </c>
      <c r="GV44" s="52">
        <f t="shared" si="91"/>
        <v>0</v>
      </c>
      <c r="GW44" s="52">
        <f t="shared" si="92"/>
        <v>0</v>
      </c>
      <c r="GX44" s="52">
        <f t="shared" si="93"/>
        <v>0</v>
      </c>
      <c r="GY44" s="215">
        <f>IF(GU44="",0,MAX(GV44:GW44:GX44))</f>
        <v>0</v>
      </c>
      <c r="GZ44" s="115" t="str">
        <f t="shared" si="94"/>
        <v/>
      </c>
      <c r="HA44" s="51" t="str">
        <f t="shared" si="95"/>
        <v/>
      </c>
      <c r="HB44" s="51" t="str">
        <f t="shared" si="96"/>
        <v/>
      </c>
      <c r="HC44" s="49" t="str">
        <f t="shared" si="181"/>
        <v/>
      </c>
      <c r="HD44" s="52">
        <f t="shared" si="97"/>
        <v>0</v>
      </c>
      <c r="HE44" s="52">
        <f t="shared" si="98"/>
        <v>0</v>
      </c>
      <c r="HF44" s="52">
        <f t="shared" si="99"/>
        <v>0</v>
      </c>
      <c r="HG44" s="215">
        <f>IF(HC44="",0,MAX(HD44:HE44:HF44))</f>
        <v>0</v>
      </c>
      <c r="HH44" s="115" t="str">
        <f t="shared" si="100"/>
        <v/>
      </c>
      <c r="HI44" s="51" t="str">
        <f t="shared" si="101"/>
        <v/>
      </c>
      <c r="HJ44" s="51" t="str">
        <f t="shared" si="102"/>
        <v/>
      </c>
      <c r="HK44" s="49" t="str">
        <f t="shared" si="182"/>
        <v/>
      </c>
      <c r="HL44" s="52">
        <f t="shared" si="103"/>
        <v>0</v>
      </c>
      <c r="HM44" s="52">
        <f t="shared" si="104"/>
        <v>0</v>
      </c>
      <c r="HN44" s="52">
        <f t="shared" si="105"/>
        <v>0</v>
      </c>
      <c r="HO44" s="215">
        <f>IF(HK44="",0,MAX(HL44:HM44:HN44))</f>
        <v>0</v>
      </c>
      <c r="HP44" s="115" t="str">
        <f t="shared" si="106"/>
        <v/>
      </c>
      <c r="HQ44" s="51" t="str">
        <f t="shared" si="107"/>
        <v/>
      </c>
      <c r="HR44" s="51" t="str">
        <f t="shared" si="108"/>
        <v/>
      </c>
      <c r="HS44" s="49" t="str">
        <f t="shared" si="183"/>
        <v/>
      </c>
      <c r="HT44" s="52">
        <f t="shared" si="109"/>
        <v>0</v>
      </c>
      <c r="HU44" s="52">
        <f t="shared" si="110"/>
        <v>0</v>
      </c>
      <c r="HV44" s="52">
        <f t="shared" si="111"/>
        <v>0</v>
      </c>
      <c r="HW44" s="215">
        <f>IF(HS44="",0,MAX(HT44:HU44:HV44))</f>
        <v>0</v>
      </c>
      <c r="HX44" s="115" t="str">
        <f t="shared" si="112"/>
        <v/>
      </c>
      <c r="HY44" s="51" t="str">
        <f t="shared" si="113"/>
        <v/>
      </c>
      <c r="HZ44" s="51" t="str">
        <f t="shared" si="114"/>
        <v/>
      </c>
      <c r="IA44" s="49" t="str">
        <f t="shared" si="184"/>
        <v/>
      </c>
      <c r="IB44" s="52">
        <f t="shared" si="115"/>
        <v>0</v>
      </c>
      <c r="IC44" s="52">
        <f t="shared" si="116"/>
        <v>0</v>
      </c>
      <c r="ID44" s="52">
        <f t="shared" si="117"/>
        <v>0</v>
      </c>
      <c r="IE44" s="215">
        <f>IF(IA44="",0,MAX(IB44:IC44:ID44))</f>
        <v>0</v>
      </c>
      <c r="IF44" s="115" t="str">
        <f t="shared" si="118"/>
        <v/>
      </c>
      <c r="IG44" s="51" t="str">
        <f t="shared" si="119"/>
        <v/>
      </c>
      <c r="IH44" s="51" t="str">
        <f t="shared" si="120"/>
        <v/>
      </c>
      <c r="II44" s="49" t="str">
        <f t="shared" si="185"/>
        <v/>
      </c>
      <c r="IJ44" s="52">
        <f t="shared" si="121"/>
        <v>0</v>
      </c>
      <c r="IK44" s="52">
        <f t="shared" si="122"/>
        <v>0</v>
      </c>
      <c r="IL44" s="52">
        <f t="shared" si="123"/>
        <v>0</v>
      </c>
      <c r="IM44" s="215">
        <f>IF(II44="",0,MAX(IJ44:IK44:IL44))</f>
        <v>0</v>
      </c>
      <c r="IN44" s="115" t="str">
        <f t="shared" si="124"/>
        <v/>
      </c>
      <c r="IO44" s="51" t="str">
        <f t="shared" si="125"/>
        <v/>
      </c>
      <c r="IP44" s="51" t="str">
        <f t="shared" si="126"/>
        <v/>
      </c>
      <c r="IQ44" s="49" t="str">
        <f t="shared" si="186"/>
        <v/>
      </c>
      <c r="IR44" s="52">
        <f t="shared" si="127"/>
        <v>0</v>
      </c>
      <c r="IS44" s="52">
        <f t="shared" si="128"/>
        <v>0</v>
      </c>
      <c r="IT44" s="52">
        <f t="shared" si="129"/>
        <v>0</v>
      </c>
      <c r="IU44" s="215">
        <f>IF(IQ44="",0,MAX(IR44:IS44:IT44))</f>
        <v>0</v>
      </c>
    </row>
    <row r="45" spans="1:256" s="16" customFormat="1" ht="18" customHeight="1" thickTop="1" thickBot="1" x14ac:dyDescent="0.35">
      <c r="A45" s="902" t="str">
        <f t="shared" si="130"/>
        <v/>
      </c>
      <c r="B45" s="903"/>
      <c r="C45" s="708"/>
      <c r="D45" s="709" t="str">
        <f t="shared" si="131"/>
        <v/>
      </c>
      <c r="E45" s="843" t="str">
        <f>IF(D45="","",SUM(D$30:D45))</f>
        <v/>
      </c>
      <c r="F45" s="951"/>
      <c r="G45" s="952"/>
      <c r="H45" s="953"/>
      <c r="I45" s="954"/>
      <c r="J45" s="955"/>
      <c r="K45" s="956"/>
      <c r="L45" s="925"/>
      <c r="M45" s="927" t="str">
        <f t="shared" si="132"/>
        <v/>
      </c>
      <c r="N45" s="934" t="str">
        <f>IF(AND(H45="",I45=""),"",IF($D$19="x",1,IF($K$16="",LOOKUP((H45+I45),'Quadro 2 Ordenado'!$B$6:'Quadro 2 Ordenado'!$B$107,'Quadro 2 Ordenado'!$C$6:'Quadro 2 Ordenado'!$C$107),LOOKUP((H45+I45),'Quadro 2 Ordenado'!$B$6:'Quadro 2 Ordenado'!$B$107,'Quadro 2 Ordenado'!$D$6:'Quadro 2 Ordenado'!$D$107))))</f>
        <v/>
      </c>
      <c r="O45" s="50"/>
      <c r="P45" s="928" t="str">
        <f t="shared" si="133"/>
        <v/>
      </c>
      <c r="S45" s="935" t="str">
        <f t="shared" si="5"/>
        <v/>
      </c>
      <c r="T45" s="111" t="str">
        <f t="shared" si="6"/>
        <v/>
      </c>
      <c r="U45" s="926"/>
      <c r="V45" s="610" t="str">
        <f t="shared" si="192"/>
        <v/>
      </c>
      <c r="W45" s="936" t="str">
        <f>IF(OR(T45="",T45=0),"",IF($V45&gt;'Quadro 3'!$F$23,'Quadro 3'!$F$23,IF($V45&lt;'Quadro 3'!$F$10,'Quadro 3'!$F$10,MIN($X45,$Y45))))</f>
        <v/>
      </c>
      <c r="X45" s="937" t="str">
        <f>IF($V45&lt;='Quadro 3'!$F$10,'Quadro 3'!$F$10,IF($V45&lt;='Quadro 3'!$F$11,'Quadro 3'!$F$11,IF($V45&lt;='Quadro 3'!$F$12,'Quadro 3'!$F$12,IF($V45&lt;='Quadro 3'!$F$13,'Quadro 3'!$F$13,IF($V45&lt;='Quadro 3'!$F$14,'Quadro 3'!$F$14,IF($V45&lt;='Quadro 3'!$F$15,'Quadro 3'!$F$15,IF($V45&lt;='Quadro 3'!$F$16,'Quadro 3'!$F$16,"")))))))</f>
        <v/>
      </c>
      <c r="Y45" s="938" t="str">
        <f>IF(OR(T45="",T45=0),"",IF($V45&lt;='Quadro 3'!$F$17,'Quadro 3'!$F$17,IF($V45&lt;='Quadro 3'!$F$18,'Quadro 3'!$F$18,IF($V45&lt;='Quadro 3'!$F$19,'Quadro 3'!$F$19,IF($V45&lt;='Quadro 3'!$F$20,'Quadro 3'!$F$20,IF($V45&lt;='Quadro 3'!$F$21,'Quadro 3'!$F$21,IF($V45&lt;='Quadro 3'!$F$22,'Quadro 3'!$F$22,IF($V45&lt;='Quadro 3'!$F$23,'Quadro 3'!$F$23,'Quadro 3'!$F$23))))))))</f>
        <v/>
      </c>
      <c r="Z45" s="936" t="str">
        <f>IF($W45="","",LOOKUP($W45,'Quadro 3'!$F$9:$F$23,'Quadro 3'!$G$9:$G$23))</f>
        <v/>
      </c>
      <c r="AA45" s="1129" t="str">
        <f>IF($W45="","",LOOKUP($W45,'Quadro 3'!$F$9:$F$23,'Quadro 3'!$D$9:$D$23))</f>
        <v/>
      </c>
      <c r="AB45" s="939" t="str">
        <f>IF($W45="","",LOOKUP($W45,'Quadro 3'!$F$9:$F$23,'Quadro 3'!$E$9:$E$23))</f>
        <v/>
      </c>
      <c r="AC45" s="929" t="str">
        <f t="shared" si="7"/>
        <v/>
      </c>
      <c r="AD45" s="1151" t="str">
        <f t="shared" si="134"/>
        <v/>
      </c>
      <c r="AE45" s="1152"/>
      <c r="AF45" s="1121" t="str">
        <f t="shared" si="8"/>
        <v/>
      </c>
      <c r="AG45" s="1123" t="str">
        <f t="shared" si="135"/>
        <v/>
      </c>
      <c r="AH45" s="931" t="str">
        <f t="shared" si="9"/>
        <v/>
      </c>
      <c r="AI45" s="932" t="str">
        <f t="shared" si="10"/>
        <v/>
      </c>
      <c r="AJ45" s="1153" t="str">
        <f t="shared" si="11"/>
        <v/>
      </c>
      <c r="AK45" s="1154"/>
      <c r="AL45" s="933" t="str">
        <f t="shared" si="136"/>
        <v/>
      </c>
      <c r="AM45" s="1138" t="str">
        <f t="shared" si="12"/>
        <v/>
      </c>
      <c r="AN45" s="1139"/>
      <c r="AO45" s="1140"/>
      <c r="AQ45" s="1126"/>
      <c r="AU45" s="1116">
        <f t="shared" si="187"/>
        <v>0</v>
      </c>
      <c r="AV45" s="350" t="str">
        <f t="shared" si="137"/>
        <v/>
      </c>
      <c r="AW45" s="241">
        <f t="shared" si="13"/>
        <v>0</v>
      </c>
      <c r="AX45" s="241" t="str">
        <f t="shared" si="14"/>
        <v/>
      </c>
      <c r="AY45" s="241" t="str">
        <f t="shared" si="15"/>
        <v/>
      </c>
      <c r="AZ45" s="241" t="str">
        <f t="shared" si="16"/>
        <v/>
      </c>
      <c r="BA45" s="2"/>
      <c r="BB45" s="2"/>
      <c r="BC45" s="2"/>
      <c r="BD45" s="2"/>
      <c r="BE45" s="2"/>
      <c r="BF45" s="2"/>
      <c r="BG45" s="2"/>
      <c r="BH45" s="2"/>
      <c r="BI45" s="350" t="str">
        <f t="shared" si="138"/>
        <v>0</v>
      </c>
      <c r="BJ45" s="350">
        <f t="shared" si="139"/>
        <v>0</v>
      </c>
      <c r="BK45" s="911" t="str">
        <f t="shared" si="140"/>
        <v>NA</v>
      </c>
      <c r="BL45" s="911" t="str">
        <f t="shared" si="141"/>
        <v/>
      </c>
      <c r="BM45" s="911" t="str">
        <f t="shared" si="142"/>
        <v/>
      </c>
      <c r="BN45" s="2"/>
      <c r="BO45" s="2"/>
      <c r="BP45" s="2"/>
      <c r="BQ45" s="2"/>
      <c r="BR45" s="2"/>
      <c r="BS45" s="2"/>
      <c r="BT45" s="2"/>
      <c r="BU45" s="2"/>
      <c r="BV45" s="350" t="str">
        <f t="shared" si="143"/>
        <v/>
      </c>
      <c r="BW45" s="235" t="str">
        <f t="shared" si="144"/>
        <v/>
      </c>
      <c r="BX45" s="235" t="str">
        <f t="shared" si="145"/>
        <v/>
      </c>
      <c r="BY45" s="235" t="str">
        <f t="shared" si="146"/>
        <v/>
      </c>
      <c r="BZ45" s="235" t="str">
        <f t="shared" si="147"/>
        <v/>
      </c>
      <c r="CA45" s="235" t="str">
        <f t="shared" si="148"/>
        <v/>
      </c>
      <c r="CB45" s="235" t="str">
        <f t="shared" si="149"/>
        <v/>
      </c>
      <c r="CC45" s="235" t="str">
        <f t="shared" si="150"/>
        <v/>
      </c>
      <c r="CD45" s="235" t="str">
        <f t="shared" si="151"/>
        <v/>
      </c>
      <c r="CE45" s="235" t="str">
        <f t="shared" si="152"/>
        <v/>
      </c>
      <c r="CF45" s="235" t="str">
        <f t="shared" si="153"/>
        <v/>
      </c>
      <c r="CG45" s="235" t="str">
        <f t="shared" si="154"/>
        <v/>
      </c>
      <c r="CH45" s="235" t="str">
        <f t="shared" si="155"/>
        <v/>
      </c>
      <c r="CI45" s="235" t="str">
        <f t="shared" si="156"/>
        <v/>
      </c>
      <c r="CJ45" s="235" t="str">
        <f t="shared" si="157"/>
        <v/>
      </c>
      <c r="CK45" s="235" t="str">
        <f t="shared" si="158"/>
        <v/>
      </c>
      <c r="CL45" s="235" t="str">
        <f t="shared" si="159"/>
        <v/>
      </c>
      <c r="CM45" s="235" t="str">
        <f t="shared" si="160"/>
        <v/>
      </c>
      <c r="CN45" s="235" t="str">
        <f t="shared" si="161"/>
        <v/>
      </c>
      <c r="CO45" s="235" t="str">
        <f t="shared" si="162"/>
        <v/>
      </c>
      <c r="CP45" s="235" t="str">
        <f t="shared" si="163"/>
        <v/>
      </c>
      <c r="CQ45" s="2">
        <v>16</v>
      </c>
      <c r="CR45" s="207" t="str">
        <f t="shared" si="164"/>
        <v/>
      </c>
      <c r="CS45" s="227" t="str">
        <f t="shared" si="165"/>
        <v/>
      </c>
      <c r="CT45" s="209" t="str">
        <f t="shared" si="188"/>
        <v/>
      </c>
      <c r="CU45" s="227" t="str">
        <f t="shared" si="17"/>
        <v/>
      </c>
      <c r="CV45" s="43">
        <f t="shared" si="189"/>
        <v>0</v>
      </c>
      <c r="CW45" s="209" t="str">
        <f t="shared" si="190"/>
        <v/>
      </c>
      <c r="CX45" s="204" t="str">
        <f t="shared" si="191"/>
        <v/>
      </c>
      <c r="CY45" s="43">
        <f t="shared" si="166"/>
        <v>0</v>
      </c>
      <c r="CZ45" s="44">
        <f t="shared" si="193"/>
        <v>0</v>
      </c>
      <c r="DA45" s="45">
        <f t="shared" si="167"/>
        <v>0</v>
      </c>
      <c r="DB45" s="46">
        <f t="shared" si="18"/>
        <v>0</v>
      </c>
      <c r="DC45" s="47" t="str">
        <f t="shared" si="168"/>
        <v/>
      </c>
      <c r="DD45" s="52">
        <f t="shared" si="19"/>
        <v>0</v>
      </c>
      <c r="DE45" s="52">
        <f t="shared" si="20"/>
        <v>0</v>
      </c>
      <c r="DF45" s="52">
        <f t="shared" si="21"/>
        <v>0</v>
      </c>
      <c r="DG45" s="215">
        <f>IF(DC45="",0,MAX(DD45:DE45:DF45))</f>
        <v>0</v>
      </c>
      <c r="DH45" s="115" t="str">
        <f t="shared" si="22"/>
        <v/>
      </c>
      <c r="DI45" s="51" t="str">
        <f t="shared" si="23"/>
        <v/>
      </c>
      <c r="DJ45" s="51" t="str">
        <f t="shared" si="24"/>
        <v/>
      </c>
      <c r="DK45" s="49" t="str">
        <f t="shared" si="169"/>
        <v/>
      </c>
      <c r="DL45" s="52">
        <f t="shared" si="25"/>
        <v>0</v>
      </c>
      <c r="DM45" s="52">
        <f t="shared" si="26"/>
        <v>0</v>
      </c>
      <c r="DN45" s="52">
        <f t="shared" si="27"/>
        <v>0</v>
      </c>
      <c r="DO45" s="215">
        <f>IF(DK45="",0,MAX(DL45:DM45:DN45))</f>
        <v>0</v>
      </c>
      <c r="DP45" s="115" t="str">
        <f t="shared" si="28"/>
        <v/>
      </c>
      <c r="DQ45" s="51" t="str">
        <f t="shared" si="29"/>
        <v/>
      </c>
      <c r="DR45" s="51" t="str">
        <f t="shared" si="30"/>
        <v/>
      </c>
      <c r="DS45" s="49" t="str">
        <f t="shared" si="170"/>
        <v/>
      </c>
      <c r="DT45" s="52">
        <f t="shared" si="31"/>
        <v>0</v>
      </c>
      <c r="DU45" s="52">
        <f t="shared" si="32"/>
        <v>0</v>
      </c>
      <c r="DV45" s="52">
        <f t="shared" si="33"/>
        <v>0</v>
      </c>
      <c r="DW45" s="215">
        <f>IF(DS45="",0,MAX(DT45:DU45:DV45))</f>
        <v>0</v>
      </c>
      <c r="DX45" s="115" t="str">
        <f t="shared" si="34"/>
        <v/>
      </c>
      <c r="DY45" s="51" t="str">
        <f t="shared" si="35"/>
        <v/>
      </c>
      <c r="DZ45" s="51" t="str">
        <f t="shared" si="36"/>
        <v/>
      </c>
      <c r="EA45" s="49" t="str">
        <f t="shared" si="171"/>
        <v/>
      </c>
      <c r="EB45" s="52">
        <f t="shared" si="37"/>
        <v>0</v>
      </c>
      <c r="EC45" s="52">
        <f t="shared" si="38"/>
        <v>0</v>
      </c>
      <c r="ED45" s="52">
        <f t="shared" si="39"/>
        <v>0</v>
      </c>
      <c r="EE45" s="215">
        <f>IF(EA45="",0,MAX(EB45:EC45:ED45))</f>
        <v>0</v>
      </c>
      <c r="EF45" s="115" t="str">
        <f t="shared" si="40"/>
        <v/>
      </c>
      <c r="EG45" s="51" t="str">
        <f t="shared" si="41"/>
        <v/>
      </c>
      <c r="EH45" s="51" t="str">
        <f t="shared" si="42"/>
        <v/>
      </c>
      <c r="EI45" s="49" t="str">
        <f t="shared" si="172"/>
        <v/>
      </c>
      <c r="EJ45" s="52">
        <f t="shared" si="43"/>
        <v>0</v>
      </c>
      <c r="EK45" s="52">
        <f t="shared" si="44"/>
        <v>0</v>
      </c>
      <c r="EL45" s="52">
        <f t="shared" si="45"/>
        <v>0</v>
      </c>
      <c r="EM45" s="215">
        <f>IF(EI45="",0,MAX(EJ45:EK45:EL45))</f>
        <v>0</v>
      </c>
      <c r="EN45" s="115" t="str">
        <f t="shared" si="46"/>
        <v/>
      </c>
      <c r="EO45" s="51" t="str">
        <f t="shared" si="47"/>
        <v/>
      </c>
      <c r="EP45" s="51" t="str">
        <f t="shared" si="48"/>
        <v/>
      </c>
      <c r="EQ45" s="49" t="str">
        <f t="shared" si="173"/>
        <v/>
      </c>
      <c r="ER45" s="52">
        <f t="shared" si="49"/>
        <v>0</v>
      </c>
      <c r="ES45" s="52">
        <f t="shared" si="50"/>
        <v>0</v>
      </c>
      <c r="ET45" s="52">
        <f t="shared" si="51"/>
        <v>0</v>
      </c>
      <c r="EU45" s="215">
        <f>IF(EQ45="",0,MAX(ER45:ES45:ET45))</f>
        <v>0</v>
      </c>
      <c r="EV45" s="115" t="str">
        <f t="shared" si="52"/>
        <v/>
      </c>
      <c r="EW45" s="51" t="str">
        <f t="shared" si="53"/>
        <v/>
      </c>
      <c r="EX45" s="51" t="str">
        <f t="shared" si="54"/>
        <v/>
      </c>
      <c r="EY45" s="49" t="str">
        <f t="shared" si="174"/>
        <v/>
      </c>
      <c r="EZ45" s="52">
        <f t="shared" si="55"/>
        <v>0</v>
      </c>
      <c r="FA45" s="52">
        <f t="shared" si="56"/>
        <v>0</v>
      </c>
      <c r="FB45" s="52">
        <f t="shared" si="57"/>
        <v>0</v>
      </c>
      <c r="FC45" s="215">
        <f>IF(EY45="",0,MAX(EZ45:FA45:FB45))</f>
        <v>0</v>
      </c>
      <c r="FD45" s="115" t="str">
        <f t="shared" si="58"/>
        <v/>
      </c>
      <c r="FE45" s="51" t="str">
        <f t="shared" si="59"/>
        <v/>
      </c>
      <c r="FF45" s="51" t="str">
        <f t="shared" si="60"/>
        <v/>
      </c>
      <c r="FG45" s="49" t="str">
        <f t="shared" si="175"/>
        <v/>
      </c>
      <c r="FH45" s="52">
        <f t="shared" si="61"/>
        <v>0</v>
      </c>
      <c r="FI45" s="52">
        <f t="shared" si="62"/>
        <v>0</v>
      </c>
      <c r="FJ45" s="52">
        <f t="shared" si="63"/>
        <v>0</v>
      </c>
      <c r="FK45" s="215">
        <f>IF(FG45="",0,MAX(FH45:FI45:FJ45))</f>
        <v>0</v>
      </c>
      <c r="FL45" s="115" t="str">
        <f t="shared" si="64"/>
        <v/>
      </c>
      <c r="FM45" s="51" t="str">
        <f t="shared" si="65"/>
        <v/>
      </c>
      <c r="FN45" s="51" t="str">
        <f t="shared" si="66"/>
        <v/>
      </c>
      <c r="FO45" s="49" t="str">
        <f t="shared" si="176"/>
        <v/>
      </c>
      <c r="FP45" s="52">
        <f t="shared" si="67"/>
        <v>0</v>
      </c>
      <c r="FQ45" s="52">
        <f t="shared" si="68"/>
        <v>0</v>
      </c>
      <c r="FR45" s="52">
        <f t="shared" si="69"/>
        <v>0</v>
      </c>
      <c r="FS45" s="215">
        <f>IF(FO45="",0,MAX(FP45:FQ45:FR45))</f>
        <v>0</v>
      </c>
      <c r="FT45" s="115" t="str">
        <f t="shared" si="70"/>
        <v/>
      </c>
      <c r="FU45" s="51" t="str">
        <f t="shared" si="71"/>
        <v/>
      </c>
      <c r="FV45" s="51" t="str">
        <f t="shared" si="72"/>
        <v/>
      </c>
      <c r="FW45" s="49" t="str">
        <f t="shared" si="177"/>
        <v/>
      </c>
      <c r="FX45" s="52">
        <f t="shared" si="73"/>
        <v>0</v>
      </c>
      <c r="FY45" s="52">
        <f t="shared" si="74"/>
        <v>0</v>
      </c>
      <c r="FZ45" s="52">
        <f t="shared" si="75"/>
        <v>0</v>
      </c>
      <c r="GA45" s="215">
        <f>IF(FW45="",0,MAX(FX45:FY45:FZ45))</f>
        <v>0</v>
      </c>
      <c r="GB45" s="115" t="str">
        <f t="shared" si="76"/>
        <v/>
      </c>
      <c r="GC45" s="51" t="str">
        <f t="shared" si="77"/>
        <v/>
      </c>
      <c r="GD45" s="51" t="str">
        <f t="shared" si="78"/>
        <v/>
      </c>
      <c r="GE45" s="49" t="str">
        <f t="shared" si="178"/>
        <v/>
      </c>
      <c r="GF45" s="52">
        <f t="shared" si="79"/>
        <v>0</v>
      </c>
      <c r="GG45" s="52">
        <f t="shared" si="80"/>
        <v>0</v>
      </c>
      <c r="GH45" s="52">
        <f t="shared" si="81"/>
        <v>0</v>
      </c>
      <c r="GI45" s="215">
        <f>IF(GE45="",0,MAX(GF45:GG45:GH45))</f>
        <v>0</v>
      </c>
      <c r="GJ45" s="115" t="str">
        <f t="shared" si="82"/>
        <v/>
      </c>
      <c r="GK45" s="51" t="str">
        <f t="shared" si="83"/>
        <v/>
      </c>
      <c r="GL45" s="51" t="str">
        <f t="shared" si="84"/>
        <v/>
      </c>
      <c r="GM45" s="49" t="str">
        <f t="shared" si="179"/>
        <v/>
      </c>
      <c r="GN45" s="52">
        <f t="shared" si="85"/>
        <v>0</v>
      </c>
      <c r="GO45" s="52">
        <f t="shared" si="86"/>
        <v>0</v>
      </c>
      <c r="GP45" s="52">
        <f t="shared" si="87"/>
        <v>0</v>
      </c>
      <c r="GQ45" s="215">
        <f>IF(GM45="",0,MAX(GN45:GO45:GP45))</f>
        <v>0</v>
      </c>
      <c r="GR45" s="115" t="str">
        <f t="shared" si="88"/>
        <v/>
      </c>
      <c r="GS45" s="51" t="str">
        <f t="shared" si="89"/>
        <v/>
      </c>
      <c r="GT45" s="51" t="str">
        <f t="shared" si="90"/>
        <v/>
      </c>
      <c r="GU45" s="49" t="str">
        <f t="shared" si="180"/>
        <v/>
      </c>
      <c r="GV45" s="52">
        <f t="shared" si="91"/>
        <v>0</v>
      </c>
      <c r="GW45" s="52">
        <f t="shared" si="92"/>
        <v>0</v>
      </c>
      <c r="GX45" s="52">
        <f t="shared" si="93"/>
        <v>0</v>
      </c>
      <c r="GY45" s="215">
        <f>IF(GU45="",0,MAX(GV45:GW45:GX45))</f>
        <v>0</v>
      </c>
      <c r="GZ45" s="115" t="str">
        <f t="shared" si="94"/>
        <v/>
      </c>
      <c r="HA45" s="51" t="str">
        <f t="shared" si="95"/>
        <v/>
      </c>
      <c r="HB45" s="51" t="str">
        <f t="shared" si="96"/>
        <v/>
      </c>
      <c r="HC45" s="49" t="str">
        <f t="shared" si="181"/>
        <v/>
      </c>
      <c r="HD45" s="52">
        <f t="shared" si="97"/>
        <v>0</v>
      </c>
      <c r="HE45" s="52">
        <f t="shared" si="98"/>
        <v>0</v>
      </c>
      <c r="HF45" s="52">
        <f t="shared" si="99"/>
        <v>0</v>
      </c>
      <c r="HG45" s="215">
        <f>IF(HC45="",0,MAX(HD45:HE45:HF45))</f>
        <v>0</v>
      </c>
      <c r="HH45" s="115" t="str">
        <f t="shared" si="100"/>
        <v/>
      </c>
      <c r="HI45" s="51" t="str">
        <f t="shared" si="101"/>
        <v/>
      </c>
      <c r="HJ45" s="51" t="str">
        <f t="shared" si="102"/>
        <v/>
      </c>
      <c r="HK45" s="49" t="str">
        <f t="shared" si="182"/>
        <v/>
      </c>
      <c r="HL45" s="52">
        <f t="shared" si="103"/>
        <v>0</v>
      </c>
      <c r="HM45" s="52">
        <f t="shared" si="104"/>
        <v>0</v>
      </c>
      <c r="HN45" s="52">
        <f t="shared" si="105"/>
        <v>0</v>
      </c>
      <c r="HO45" s="215">
        <f>IF(HK45="",0,MAX(HL45:HM45:HN45))</f>
        <v>0</v>
      </c>
      <c r="HP45" s="115" t="str">
        <f t="shared" si="106"/>
        <v/>
      </c>
      <c r="HQ45" s="51" t="str">
        <f t="shared" si="107"/>
        <v/>
      </c>
      <c r="HR45" s="51" t="str">
        <f t="shared" si="108"/>
        <v/>
      </c>
      <c r="HS45" s="49" t="str">
        <f t="shared" si="183"/>
        <v/>
      </c>
      <c r="HT45" s="52">
        <f t="shared" si="109"/>
        <v>0</v>
      </c>
      <c r="HU45" s="52">
        <f t="shared" si="110"/>
        <v>0</v>
      </c>
      <c r="HV45" s="52">
        <f t="shared" si="111"/>
        <v>0</v>
      </c>
      <c r="HW45" s="215">
        <f>IF(HS45="",0,MAX(HT45:HU45:HV45))</f>
        <v>0</v>
      </c>
      <c r="HX45" s="115" t="str">
        <f t="shared" si="112"/>
        <v/>
      </c>
      <c r="HY45" s="51" t="str">
        <f t="shared" si="113"/>
        <v/>
      </c>
      <c r="HZ45" s="51" t="str">
        <f t="shared" si="114"/>
        <v/>
      </c>
      <c r="IA45" s="49" t="str">
        <f t="shared" si="184"/>
        <v/>
      </c>
      <c r="IB45" s="52">
        <f t="shared" si="115"/>
        <v>0</v>
      </c>
      <c r="IC45" s="52">
        <f t="shared" si="116"/>
        <v>0</v>
      </c>
      <c r="ID45" s="52">
        <f t="shared" si="117"/>
        <v>0</v>
      </c>
      <c r="IE45" s="215">
        <f>IF(IA45="",0,MAX(IB45:IC45:ID45))</f>
        <v>0</v>
      </c>
      <c r="IF45" s="115" t="str">
        <f t="shared" si="118"/>
        <v/>
      </c>
      <c r="IG45" s="51" t="str">
        <f t="shared" si="119"/>
        <v/>
      </c>
      <c r="IH45" s="51" t="str">
        <f t="shared" si="120"/>
        <v/>
      </c>
      <c r="II45" s="49" t="str">
        <f t="shared" si="185"/>
        <v/>
      </c>
      <c r="IJ45" s="52">
        <f t="shared" si="121"/>
        <v>0</v>
      </c>
      <c r="IK45" s="52">
        <f t="shared" si="122"/>
        <v>0</v>
      </c>
      <c r="IL45" s="52">
        <f t="shared" si="123"/>
        <v>0</v>
      </c>
      <c r="IM45" s="215">
        <f>IF(II45="",0,MAX(IJ45:IK45:IL45))</f>
        <v>0</v>
      </c>
      <c r="IN45" s="115" t="str">
        <f t="shared" si="124"/>
        <v/>
      </c>
      <c r="IO45" s="51" t="str">
        <f t="shared" si="125"/>
        <v/>
      </c>
      <c r="IP45" s="51" t="str">
        <f t="shared" si="126"/>
        <v/>
      </c>
      <c r="IQ45" s="49" t="str">
        <f t="shared" si="186"/>
        <v/>
      </c>
      <c r="IR45" s="52">
        <f t="shared" si="127"/>
        <v>0</v>
      </c>
      <c r="IS45" s="52">
        <f t="shared" si="128"/>
        <v>0</v>
      </c>
      <c r="IT45" s="52">
        <f t="shared" si="129"/>
        <v>0</v>
      </c>
      <c r="IU45" s="215">
        <f>IF(IQ45="",0,MAX(IR45:IS45:IT45))</f>
        <v>0</v>
      </c>
    </row>
    <row r="46" spans="1:256" s="16" customFormat="1" ht="18" customHeight="1" thickTop="1" thickBot="1" x14ac:dyDescent="0.35">
      <c r="A46" s="902" t="str">
        <f t="shared" si="130"/>
        <v/>
      </c>
      <c r="B46" s="903"/>
      <c r="C46" s="708"/>
      <c r="D46" s="709" t="str">
        <f t="shared" si="131"/>
        <v/>
      </c>
      <c r="E46" s="843" t="str">
        <f>IF(D46="","",SUM(D$30:D46))</f>
        <v/>
      </c>
      <c r="F46" s="951"/>
      <c r="G46" s="952"/>
      <c r="H46" s="953"/>
      <c r="I46" s="954"/>
      <c r="J46" s="955"/>
      <c r="K46" s="956"/>
      <c r="L46" s="925"/>
      <c r="M46" s="927" t="str">
        <f t="shared" si="132"/>
        <v/>
      </c>
      <c r="N46" s="934" t="str">
        <f>IF(AND(H46="",I46=""),"",IF($D$19="x",1,IF($K$16="",LOOKUP((H46+I46),'Quadro 2 Ordenado'!$B$6:'Quadro 2 Ordenado'!$B$107,'Quadro 2 Ordenado'!$C$6:'Quadro 2 Ordenado'!$C$107),LOOKUP((H46+I46),'Quadro 2 Ordenado'!$B$6:'Quadro 2 Ordenado'!$B$107,'Quadro 2 Ordenado'!$D$6:'Quadro 2 Ordenado'!$D$107))))</f>
        <v/>
      </c>
      <c r="O46" s="50"/>
      <c r="P46" s="928" t="str">
        <f t="shared" si="133"/>
        <v/>
      </c>
      <c r="S46" s="935" t="str">
        <f t="shared" si="5"/>
        <v/>
      </c>
      <c r="T46" s="111" t="str">
        <f t="shared" si="6"/>
        <v/>
      </c>
      <c r="U46" s="926"/>
      <c r="V46" s="610" t="str">
        <f t="shared" si="192"/>
        <v/>
      </c>
      <c r="W46" s="936" t="str">
        <f>IF(OR(T46="",T46=0),"",IF($V46&gt;'Quadro 3'!$F$23,'Quadro 3'!$F$23,IF($V46&lt;'Quadro 3'!$F$10,'Quadro 3'!$F$10,MIN($X46,$Y46))))</f>
        <v/>
      </c>
      <c r="X46" s="937" t="str">
        <f>IF($V46&lt;='Quadro 3'!$F$10,'Quadro 3'!$F$10,IF($V46&lt;='Quadro 3'!$F$11,'Quadro 3'!$F$11,IF($V46&lt;='Quadro 3'!$F$12,'Quadro 3'!$F$12,IF($V46&lt;='Quadro 3'!$F$13,'Quadro 3'!$F$13,IF($V46&lt;='Quadro 3'!$F$14,'Quadro 3'!$F$14,IF($V46&lt;='Quadro 3'!$F$15,'Quadro 3'!$F$15,IF($V46&lt;='Quadro 3'!$F$16,'Quadro 3'!$F$16,"")))))))</f>
        <v/>
      </c>
      <c r="Y46" s="938" t="str">
        <f>IF(OR(T46="",T46=0),"",IF($V46&lt;='Quadro 3'!$F$17,'Quadro 3'!$F$17,IF($V46&lt;='Quadro 3'!$F$18,'Quadro 3'!$F$18,IF($V46&lt;='Quadro 3'!$F$19,'Quadro 3'!$F$19,IF($V46&lt;='Quadro 3'!$F$20,'Quadro 3'!$F$20,IF($V46&lt;='Quadro 3'!$F$21,'Quadro 3'!$F$21,IF($V46&lt;='Quadro 3'!$F$22,'Quadro 3'!$F$22,IF($V46&lt;='Quadro 3'!$F$23,'Quadro 3'!$F$23,'Quadro 3'!$F$23))))))))</f>
        <v/>
      </c>
      <c r="Z46" s="936" t="str">
        <f>IF($W46="","",LOOKUP($W46,'Quadro 3'!$F$9:$F$23,'Quadro 3'!$G$9:$G$23))</f>
        <v/>
      </c>
      <c r="AA46" s="1129" t="str">
        <f>IF($W46="","",LOOKUP($W46,'Quadro 3'!$F$9:$F$23,'Quadro 3'!$D$9:$D$23))</f>
        <v/>
      </c>
      <c r="AB46" s="939" t="str">
        <f>IF($W46="","",LOOKUP($W46,'Quadro 3'!$F$9:$F$23,'Quadro 3'!$E$9:$E$23))</f>
        <v/>
      </c>
      <c r="AC46" s="929" t="str">
        <f t="shared" si="7"/>
        <v/>
      </c>
      <c r="AD46" s="1151" t="str">
        <f t="shared" si="134"/>
        <v/>
      </c>
      <c r="AE46" s="1152"/>
      <c r="AF46" s="1121" t="str">
        <f t="shared" si="8"/>
        <v/>
      </c>
      <c r="AG46" s="1123" t="str">
        <f t="shared" si="135"/>
        <v/>
      </c>
      <c r="AH46" s="931" t="str">
        <f t="shared" si="9"/>
        <v/>
      </c>
      <c r="AI46" s="932" t="str">
        <f t="shared" si="10"/>
        <v/>
      </c>
      <c r="AJ46" s="1153" t="str">
        <f t="shared" si="11"/>
        <v/>
      </c>
      <c r="AK46" s="1154"/>
      <c r="AL46" s="933" t="str">
        <f t="shared" si="136"/>
        <v/>
      </c>
      <c r="AM46" s="1138" t="str">
        <f t="shared" si="12"/>
        <v/>
      </c>
      <c r="AN46" s="1139"/>
      <c r="AO46" s="1140"/>
      <c r="AQ46" s="1126"/>
      <c r="AU46" s="1116">
        <f t="shared" si="187"/>
        <v>0</v>
      </c>
      <c r="AV46" s="350" t="str">
        <f t="shared" si="137"/>
        <v/>
      </c>
      <c r="AW46" s="241">
        <f t="shared" si="13"/>
        <v>0</v>
      </c>
      <c r="AX46" s="241" t="str">
        <f t="shared" si="14"/>
        <v/>
      </c>
      <c r="AY46" s="241" t="str">
        <f t="shared" si="15"/>
        <v/>
      </c>
      <c r="AZ46" s="241" t="str">
        <f t="shared" si="16"/>
        <v/>
      </c>
      <c r="BA46" s="2"/>
      <c r="BB46" s="2"/>
      <c r="BC46" s="2"/>
      <c r="BD46" s="2"/>
      <c r="BE46" s="2"/>
      <c r="BF46" s="2"/>
      <c r="BG46" s="2"/>
      <c r="BH46" s="2"/>
      <c r="BI46" s="350" t="str">
        <f t="shared" si="138"/>
        <v>0</v>
      </c>
      <c r="BJ46" s="350">
        <f t="shared" si="139"/>
        <v>0</v>
      </c>
      <c r="BK46" s="911" t="str">
        <f t="shared" si="140"/>
        <v>NA</v>
      </c>
      <c r="BL46" s="911" t="str">
        <f t="shared" si="141"/>
        <v/>
      </c>
      <c r="BM46" s="911" t="str">
        <f t="shared" si="142"/>
        <v/>
      </c>
      <c r="BN46" s="2"/>
      <c r="BO46" s="2"/>
      <c r="BP46" s="2"/>
      <c r="BQ46" s="2"/>
      <c r="BR46" s="2"/>
      <c r="BS46" s="2"/>
      <c r="BT46" s="2"/>
      <c r="BU46" s="2"/>
      <c r="BV46" s="350" t="str">
        <f t="shared" si="143"/>
        <v/>
      </c>
      <c r="BW46" s="235" t="str">
        <f t="shared" si="144"/>
        <v/>
      </c>
      <c r="BX46" s="235" t="str">
        <f t="shared" si="145"/>
        <v/>
      </c>
      <c r="BY46" s="235" t="str">
        <f t="shared" si="146"/>
        <v/>
      </c>
      <c r="BZ46" s="235" t="str">
        <f t="shared" si="147"/>
        <v/>
      </c>
      <c r="CA46" s="235" t="str">
        <f t="shared" si="148"/>
        <v/>
      </c>
      <c r="CB46" s="235" t="str">
        <f t="shared" si="149"/>
        <v/>
      </c>
      <c r="CC46" s="235" t="str">
        <f t="shared" si="150"/>
        <v/>
      </c>
      <c r="CD46" s="235" t="str">
        <f t="shared" si="151"/>
        <v/>
      </c>
      <c r="CE46" s="235" t="str">
        <f t="shared" si="152"/>
        <v/>
      </c>
      <c r="CF46" s="235" t="str">
        <f t="shared" si="153"/>
        <v/>
      </c>
      <c r="CG46" s="235" t="str">
        <f t="shared" si="154"/>
        <v/>
      </c>
      <c r="CH46" s="235" t="str">
        <f t="shared" si="155"/>
        <v/>
      </c>
      <c r="CI46" s="235" t="str">
        <f t="shared" si="156"/>
        <v/>
      </c>
      <c r="CJ46" s="235" t="str">
        <f t="shared" si="157"/>
        <v/>
      </c>
      <c r="CK46" s="235" t="str">
        <f t="shared" si="158"/>
        <v/>
      </c>
      <c r="CL46" s="235" t="str">
        <f t="shared" si="159"/>
        <v/>
      </c>
      <c r="CM46" s="235" t="str">
        <f t="shared" si="160"/>
        <v/>
      </c>
      <c r="CN46" s="235" t="str">
        <f t="shared" si="161"/>
        <v/>
      </c>
      <c r="CO46" s="235" t="str">
        <f t="shared" si="162"/>
        <v/>
      </c>
      <c r="CP46" s="235" t="str">
        <f t="shared" si="163"/>
        <v/>
      </c>
      <c r="CQ46" s="2">
        <v>17</v>
      </c>
      <c r="CR46" s="207" t="str">
        <f t="shared" si="164"/>
        <v/>
      </c>
      <c r="CS46" s="227" t="str">
        <f t="shared" si="165"/>
        <v/>
      </c>
      <c r="CT46" s="209" t="str">
        <f t="shared" si="188"/>
        <v/>
      </c>
      <c r="CU46" s="227" t="str">
        <f t="shared" si="17"/>
        <v/>
      </c>
      <c r="CV46" s="43">
        <f t="shared" si="189"/>
        <v>0</v>
      </c>
      <c r="CW46" s="209" t="str">
        <f t="shared" si="190"/>
        <v/>
      </c>
      <c r="CX46" s="204" t="str">
        <f t="shared" si="191"/>
        <v/>
      </c>
      <c r="CY46" s="43">
        <f t="shared" si="166"/>
        <v>0</v>
      </c>
      <c r="CZ46" s="44">
        <f t="shared" si="193"/>
        <v>0</v>
      </c>
      <c r="DA46" s="45">
        <f t="shared" si="167"/>
        <v>0</v>
      </c>
      <c r="DB46" s="46">
        <f t="shared" si="18"/>
        <v>0</v>
      </c>
      <c r="DC46" s="47" t="str">
        <f t="shared" si="168"/>
        <v/>
      </c>
      <c r="DD46" s="52">
        <f t="shared" si="19"/>
        <v>0</v>
      </c>
      <c r="DE46" s="52">
        <f t="shared" si="20"/>
        <v>0</v>
      </c>
      <c r="DF46" s="52">
        <f t="shared" si="21"/>
        <v>0</v>
      </c>
      <c r="DG46" s="215">
        <f>IF(DC46="",0,MAX(DD46:DE46:DF46))</f>
        <v>0</v>
      </c>
      <c r="DH46" s="115" t="str">
        <f t="shared" si="22"/>
        <v/>
      </c>
      <c r="DI46" s="51" t="str">
        <f t="shared" si="23"/>
        <v/>
      </c>
      <c r="DJ46" s="51" t="str">
        <f t="shared" si="24"/>
        <v/>
      </c>
      <c r="DK46" s="49" t="str">
        <f t="shared" si="169"/>
        <v/>
      </c>
      <c r="DL46" s="52">
        <f t="shared" si="25"/>
        <v>0</v>
      </c>
      <c r="DM46" s="52">
        <f t="shared" si="26"/>
        <v>0</v>
      </c>
      <c r="DN46" s="52">
        <f t="shared" si="27"/>
        <v>0</v>
      </c>
      <c r="DO46" s="215">
        <f>IF(DK46="",0,MAX(DL46:DM46:DN46))</f>
        <v>0</v>
      </c>
      <c r="DP46" s="115" t="str">
        <f t="shared" si="28"/>
        <v/>
      </c>
      <c r="DQ46" s="51" t="str">
        <f t="shared" si="29"/>
        <v/>
      </c>
      <c r="DR46" s="51" t="str">
        <f t="shared" si="30"/>
        <v/>
      </c>
      <c r="DS46" s="49" t="str">
        <f t="shared" si="170"/>
        <v/>
      </c>
      <c r="DT46" s="52">
        <f t="shared" si="31"/>
        <v>0</v>
      </c>
      <c r="DU46" s="52">
        <f t="shared" si="32"/>
        <v>0</v>
      </c>
      <c r="DV46" s="52">
        <f t="shared" si="33"/>
        <v>0</v>
      </c>
      <c r="DW46" s="215">
        <f>IF(DS46="",0,MAX(DT46:DU46:DV46))</f>
        <v>0</v>
      </c>
      <c r="DX46" s="115" t="str">
        <f t="shared" si="34"/>
        <v/>
      </c>
      <c r="DY46" s="51" t="str">
        <f t="shared" si="35"/>
        <v/>
      </c>
      <c r="DZ46" s="51" t="str">
        <f t="shared" si="36"/>
        <v/>
      </c>
      <c r="EA46" s="49" t="str">
        <f t="shared" si="171"/>
        <v/>
      </c>
      <c r="EB46" s="52">
        <f t="shared" si="37"/>
        <v>0</v>
      </c>
      <c r="EC46" s="52">
        <f t="shared" si="38"/>
        <v>0</v>
      </c>
      <c r="ED46" s="52">
        <f t="shared" si="39"/>
        <v>0</v>
      </c>
      <c r="EE46" s="215">
        <f>IF(EA46="",0,MAX(EB46:EC46:ED46))</f>
        <v>0</v>
      </c>
      <c r="EF46" s="115" t="str">
        <f t="shared" si="40"/>
        <v/>
      </c>
      <c r="EG46" s="51" t="str">
        <f t="shared" si="41"/>
        <v/>
      </c>
      <c r="EH46" s="51" t="str">
        <f t="shared" si="42"/>
        <v/>
      </c>
      <c r="EI46" s="49" t="str">
        <f t="shared" si="172"/>
        <v/>
      </c>
      <c r="EJ46" s="52">
        <f t="shared" si="43"/>
        <v>0</v>
      </c>
      <c r="EK46" s="52">
        <f t="shared" si="44"/>
        <v>0</v>
      </c>
      <c r="EL46" s="52">
        <f t="shared" si="45"/>
        <v>0</v>
      </c>
      <c r="EM46" s="215">
        <f>IF(EI46="",0,MAX(EJ46:EK46:EL46))</f>
        <v>0</v>
      </c>
      <c r="EN46" s="115" t="str">
        <f t="shared" si="46"/>
        <v/>
      </c>
      <c r="EO46" s="51" t="str">
        <f t="shared" si="47"/>
        <v/>
      </c>
      <c r="EP46" s="51" t="str">
        <f t="shared" si="48"/>
        <v/>
      </c>
      <c r="EQ46" s="49" t="str">
        <f t="shared" si="173"/>
        <v/>
      </c>
      <c r="ER46" s="52">
        <f t="shared" si="49"/>
        <v>0</v>
      </c>
      <c r="ES46" s="52">
        <f t="shared" si="50"/>
        <v>0</v>
      </c>
      <c r="ET46" s="52">
        <f t="shared" si="51"/>
        <v>0</v>
      </c>
      <c r="EU46" s="215">
        <f>IF(EQ46="",0,MAX(ER46:ES46:ET46))</f>
        <v>0</v>
      </c>
      <c r="EV46" s="115" t="str">
        <f t="shared" si="52"/>
        <v/>
      </c>
      <c r="EW46" s="51" t="str">
        <f t="shared" si="53"/>
        <v/>
      </c>
      <c r="EX46" s="51" t="str">
        <f t="shared" si="54"/>
        <v/>
      </c>
      <c r="EY46" s="49" t="str">
        <f t="shared" si="174"/>
        <v/>
      </c>
      <c r="EZ46" s="52">
        <f t="shared" si="55"/>
        <v>0</v>
      </c>
      <c r="FA46" s="52">
        <f t="shared" si="56"/>
        <v>0</v>
      </c>
      <c r="FB46" s="52">
        <f t="shared" si="57"/>
        <v>0</v>
      </c>
      <c r="FC46" s="215">
        <f>IF(EY46="",0,MAX(EZ46:FA46:FB46))</f>
        <v>0</v>
      </c>
      <c r="FD46" s="115" t="str">
        <f t="shared" si="58"/>
        <v/>
      </c>
      <c r="FE46" s="51" t="str">
        <f t="shared" si="59"/>
        <v/>
      </c>
      <c r="FF46" s="51" t="str">
        <f t="shared" si="60"/>
        <v/>
      </c>
      <c r="FG46" s="49" t="str">
        <f t="shared" si="175"/>
        <v/>
      </c>
      <c r="FH46" s="52">
        <f t="shared" si="61"/>
        <v>0</v>
      </c>
      <c r="FI46" s="52">
        <f t="shared" si="62"/>
        <v>0</v>
      </c>
      <c r="FJ46" s="52">
        <f t="shared" si="63"/>
        <v>0</v>
      </c>
      <c r="FK46" s="215">
        <f>IF(FG46="",0,MAX(FH46:FI46:FJ46))</f>
        <v>0</v>
      </c>
      <c r="FL46" s="115" t="str">
        <f t="shared" si="64"/>
        <v/>
      </c>
      <c r="FM46" s="51" t="str">
        <f t="shared" si="65"/>
        <v/>
      </c>
      <c r="FN46" s="51" t="str">
        <f t="shared" si="66"/>
        <v/>
      </c>
      <c r="FO46" s="49" t="str">
        <f t="shared" si="176"/>
        <v/>
      </c>
      <c r="FP46" s="52">
        <f t="shared" si="67"/>
        <v>0</v>
      </c>
      <c r="FQ46" s="52">
        <f t="shared" si="68"/>
        <v>0</v>
      </c>
      <c r="FR46" s="52">
        <f t="shared" si="69"/>
        <v>0</v>
      </c>
      <c r="FS46" s="215">
        <f>IF(FO46="",0,MAX(FP46:FQ46:FR46))</f>
        <v>0</v>
      </c>
      <c r="FT46" s="115" t="str">
        <f t="shared" si="70"/>
        <v/>
      </c>
      <c r="FU46" s="51" t="str">
        <f t="shared" si="71"/>
        <v/>
      </c>
      <c r="FV46" s="51" t="str">
        <f t="shared" si="72"/>
        <v/>
      </c>
      <c r="FW46" s="49" t="str">
        <f t="shared" si="177"/>
        <v/>
      </c>
      <c r="FX46" s="52">
        <f t="shared" si="73"/>
        <v>0</v>
      </c>
      <c r="FY46" s="52">
        <f t="shared" si="74"/>
        <v>0</v>
      </c>
      <c r="FZ46" s="52">
        <f t="shared" si="75"/>
        <v>0</v>
      </c>
      <c r="GA46" s="215">
        <f>IF(FW46="",0,MAX(FX46:FY46:FZ46))</f>
        <v>0</v>
      </c>
      <c r="GB46" s="115" t="str">
        <f t="shared" si="76"/>
        <v/>
      </c>
      <c r="GC46" s="51" t="str">
        <f t="shared" si="77"/>
        <v/>
      </c>
      <c r="GD46" s="51" t="str">
        <f t="shared" si="78"/>
        <v/>
      </c>
      <c r="GE46" s="49" t="str">
        <f t="shared" si="178"/>
        <v/>
      </c>
      <c r="GF46" s="52">
        <f t="shared" si="79"/>
        <v>0</v>
      </c>
      <c r="GG46" s="52">
        <f t="shared" si="80"/>
        <v>0</v>
      </c>
      <c r="GH46" s="52">
        <f t="shared" si="81"/>
        <v>0</v>
      </c>
      <c r="GI46" s="215">
        <f>IF(GE46="",0,MAX(GF46:GG46:GH46))</f>
        <v>0</v>
      </c>
      <c r="GJ46" s="115" t="str">
        <f t="shared" si="82"/>
        <v/>
      </c>
      <c r="GK46" s="51" t="str">
        <f t="shared" si="83"/>
        <v/>
      </c>
      <c r="GL46" s="51" t="str">
        <f t="shared" si="84"/>
        <v/>
      </c>
      <c r="GM46" s="49" t="str">
        <f t="shared" si="179"/>
        <v/>
      </c>
      <c r="GN46" s="52">
        <f t="shared" si="85"/>
        <v>0</v>
      </c>
      <c r="GO46" s="52">
        <f t="shared" si="86"/>
        <v>0</v>
      </c>
      <c r="GP46" s="52">
        <f t="shared" si="87"/>
        <v>0</v>
      </c>
      <c r="GQ46" s="215">
        <f>IF(GM46="",0,MAX(GN46:GO46:GP46))</f>
        <v>0</v>
      </c>
      <c r="GR46" s="115" t="str">
        <f t="shared" si="88"/>
        <v/>
      </c>
      <c r="GS46" s="51" t="str">
        <f t="shared" si="89"/>
        <v/>
      </c>
      <c r="GT46" s="51" t="str">
        <f t="shared" si="90"/>
        <v/>
      </c>
      <c r="GU46" s="49" t="str">
        <f t="shared" si="180"/>
        <v/>
      </c>
      <c r="GV46" s="52">
        <f t="shared" si="91"/>
        <v>0</v>
      </c>
      <c r="GW46" s="52">
        <f t="shared" si="92"/>
        <v>0</v>
      </c>
      <c r="GX46" s="52">
        <f t="shared" si="93"/>
        <v>0</v>
      </c>
      <c r="GY46" s="215">
        <f>IF(GU46="",0,MAX(GV46:GW46:GX46))</f>
        <v>0</v>
      </c>
      <c r="GZ46" s="115" t="str">
        <f t="shared" si="94"/>
        <v/>
      </c>
      <c r="HA46" s="51" t="str">
        <f t="shared" si="95"/>
        <v/>
      </c>
      <c r="HB46" s="51" t="str">
        <f t="shared" si="96"/>
        <v/>
      </c>
      <c r="HC46" s="49" t="str">
        <f t="shared" si="181"/>
        <v/>
      </c>
      <c r="HD46" s="52">
        <f t="shared" si="97"/>
        <v>0</v>
      </c>
      <c r="HE46" s="52">
        <f t="shared" si="98"/>
        <v>0</v>
      </c>
      <c r="HF46" s="52">
        <f t="shared" si="99"/>
        <v>0</v>
      </c>
      <c r="HG46" s="215">
        <f>IF(HC46="",0,MAX(HD46:HE46:HF46))</f>
        <v>0</v>
      </c>
      <c r="HH46" s="115" t="str">
        <f t="shared" si="100"/>
        <v/>
      </c>
      <c r="HI46" s="51" t="str">
        <f t="shared" si="101"/>
        <v/>
      </c>
      <c r="HJ46" s="51" t="str">
        <f t="shared" si="102"/>
        <v/>
      </c>
      <c r="HK46" s="49" t="str">
        <f t="shared" si="182"/>
        <v/>
      </c>
      <c r="HL46" s="52">
        <f t="shared" si="103"/>
        <v>0</v>
      </c>
      <c r="HM46" s="52">
        <f t="shared" si="104"/>
        <v>0</v>
      </c>
      <c r="HN46" s="52">
        <f t="shared" si="105"/>
        <v>0</v>
      </c>
      <c r="HO46" s="215">
        <f>IF(HK46="",0,MAX(HL46:HM46:HN46))</f>
        <v>0</v>
      </c>
      <c r="HP46" s="115" t="str">
        <f t="shared" si="106"/>
        <v/>
      </c>
      <c r="HQ46" s="51" t="str">
        <f t="shared" si="107"/>
        <v/>
      </c>
      <c r="HR46" s="51" t="str">
        <f t="shared" si="108"/>
        <v/>
      </c>
      <c r="HS46" s="49" t="str">
        <f t="shared" si="183"/>
        <v/>
      </c>
      <c r="HT46" s="52">
        <f t="shared" si="109"/>
        <v>0</v>
      </c>
      <c r="HU46" s="52">
        <f t="shared" si="110"/>
        <v>0</v>
      </c>
      <c r="HV46" s="52">
        <f t="shared" si="111"/>
        <v>0</v>
      </c>
      <c r="HW46" s="215">
        <f>IF(HS46="",0,MAX(HT46:HU46:HV46))</f>
        <v>0</v>
      </c>
      <c r="HX46" s="115" t="str">
        <f t="shared" si="112"/>
        <v/>
      </c>
      <c r="HY46" s="51" t="str">
        <f t="shared" si="113"/>
        <v/>
      </c>
      <c r="HZ46" s="51" t="str">
        <f t="shared" si="114"/>
        <v/>
      </c>
      <c r="IA46" s="49" t="str">
        <f t="shared" si="184"/>
        <v/>
      </c>
      <c r="IB46" s="52">
        <f t="shared" si="115"/>
        <v>0</v>
      </c>
      <c r="IC46" s="52">
        <f t="shared" si="116"/>
        <v>0</v>
      </c>
      <c r="ID46" s="52">
        <f t="shared" si="117"/>
        <v>0</v>
      </c>
      <c r="IE46" s="215">
        <f>IF(IA46="",0,MAX(IB46:IC46:ID46))</f>
        <v>0</v>
      </c>
      <c r="IF46" s="115" t="str">
        <f t="shared" si="118"/>
        <v/>
      </c>
      <c r="IG46" s="51" t="str">
        <f t="shared" si="119"/>
        <v/>
      </c>
      <c r="IH46" s="51" t="str">
        <f t="shared" si="120"/>
        <v/>
      </c>
      <c r="II46" s="49" t="str">
        <f t="shared" si="185"/>
        <v/>
      </c>
      <c r="IJ46" s="52">
        <f t="shared" si="121"/>
        <v>0</v>
      </c>
      <c r="IK46" s="52">
        <f t="shared" si="122"/>
        <v>0</v>
      </c>
      <c r="IL46" s="52">
        <f t="shared" si="123"/>
        <v>0</v>
      </c>
      <c r="IM46" s="215">
        <f>IF(II46="",0,MAX(IJ46:IK46:IL46))</f>
        <v>0</v>
      </c>
      <c r="IN46" s="115" t="str">
        <f t="shared" si="124"/>
        <v/>
      </c>
      <c r="IO46" s="51" t="str">
        <f t="shared" si="125"/>
        <v/>
      </c>
      <c r="IP46" s="51" t="str">
        <f t="shared" si="126"/>
        <v/>
      </c>
      <c r="IQ46" s="49" t="str">
        <f t="shared" si="186"/>
        <v/>
      </c>
      <c r="IR46" s="52">
        <f t="shared" si="127"/>
        <v>0</v>
      </c>
      <c r="IS46" s="52">
        <f t="shared" si="128"/>
        <v>0</v>
      </c>
      <c r="IT46" s="52">
        <f t="shared" si="129"/>
        <v>0</v>
      </c>
      <c r="IU46" s="215">
        <f>IF(IQ46="",0,MAX(IR46:IS46:IT46))</f>
        <v>0</v>
      </c>
    </row>
    <row r="47" spans="1:256" s="16" customFormat="1" ht="18" customHeight="1" thickTop="1" thickBot="1" x14ac:dyDescent="0.35">
      <c r="A47" s="902" t="str">
        <f t="shared" si="130"/>
        <v/>
      </c>
      <c r="B47" s="903"/>
      <c r="C47" s="708"/>
      <c r="D47" s="709" t="str">
        <f t="shared" si="131"/>
        <v/>
      </c>
      <c r="E47" s="843" t="str">
        <f>IF(D47="","",SUM(D$30:D47))</f>
        <v/>
      </c>
      <c r="F47" s="951"/>
      <c r="G47" s="952"/>
      <c r="H47" s="953"/>
      <c r="I47" s="954"/>
      <c r="J47" s="955"/>
      <c r="K47" s="956"/>
      <c r="L47" s="925"/>
      <c r="M47" s="927" t="str">
        <f t="shared" si="132"/>
        <v/>
      </c>
      <c r="N47" s="934" t="str">
        <f>IF(AND(H47="",I47=""),"",IF($D$19="x",1,IF($K$16="",LOOKUP((H47+I47),'Quadro 2 Ordenado'!$B$6:'Quadro 2 Ordenado'!$B$107,'Quadro 2 Ordenado'!$C$6:'Quadro 2 Ordenado'!$C$107),LOOKUP((H47+I47),'Quadro 2 Ordenado'!$B$6:'Quadro 2 Ordenado'!$B$107,'Quadro 2 Ordenado'!$D$6:'Quadro 2 Ordenado'!$D$107))))</f>
        <v/>
      </c>
      <c r="O47" s="50"/>
      <c r="P47" s="928" t="str">
        <f t="shared" si="133"/>
        <v/>
      </c>
      <c r="S47" s="935" t="str">
        <f t="shared" si="5"/>
        <v/>
      </c>
      <c r="T47" s="111" t="str">
        <f t="shared" si="6"/>
        <v/>
      </c>
      <c r="U47" s="926"/>
      <c r="V47" s="610" t="str">
        <f t="shared" si="192"/>
        <v/>
      </c>
      <c r="W47" s="936" t="str">
        <f>IF(OR(T47="",T47=0),"",IF($V47&gt;'Quadro 3'!$F$23,'Quadro 3'!$F$23,IF($V47&lt;'Quadro 3'!$F$10,'Quadro 3'!$F$10,MIN($X47,$Y47))))</f>
        <v/>
      </c>
      <c r="X47" s="937" t="str">
        <f>IF($V47&lt;='Quadro 3'!$F$10,'Quadro 3'!$F$10,IF($V47&lt;='Quadro 3'!$F$11,'Quadro 3'!$F$11,IF($V47&lt;='Quadro 3'!$F$12,'Quadro 3'!$F$12,IF($V47&lt;='Quadro 3'!$F$13,'Quadro 3'!$F$13,IF($V47&lt;='Quadro 3'!$F$14,'Quadro 3'!$F$14,IF($V47&lt;='Quadro 3'!$F$15,'Quadro 3'!$F$15,IF($V47&lt;='Quadro 3'!$F$16,'Quadro 3'!$F$16,"")))))))</f>
        <v/>
      </c>
      <c r="Y47" s="938" t="str">
        <f>IF(OR(T47="",T47=0),"",IF($V47&lt;='Quadro 3'!$F$17,'Quadro 3'!$F$17,IF($V47&lt;='Quadro 3'!$F$18,'Quadro 3'!$F$18,IF($V47&lt;='Quadro 3'!$F$19,'Quadro 3'!$F$19,IF($V47&lt;='Quadro 3'!$F$20,'Quadro 3'!$F$20,IF($V47&lt;='Quadro 3'!$F$21,'Quadro 3'!$F$21,IF($V47&lt;='Quadro 3'!$F$22,'Quadro 3'!$F$22,IF($V47&lt;='Quadro 3'!$F$23,'Quadro 3'!$F$23,'Quadro 3'!$F$23))))))))</f>
        <v/>
      </c>
      <c r="Z47" s="936" t="str">
        <f>IF($W47="","",LOOKUP($W47,'Quadro 3'!$F$9:$F$23,'Quadro 3'!$G$9:$G$23))</f>
        <v/>
      </c>
      <c r="AA47" s="1129" t="str">
        <f>IF($W47="","",LOOKUP($W47,'Quadro 3'!$F$9:$F$23,'Quadro 3'!$D$9:$D$23))</f>
        <v/>
      </c>
      <c r="AB47" s="939" t="str">
        <f>IF($W47="","",LOOKUP($W47,'Quadro 3'!$F$9:$F$23,'Quadro 3'!$E$9:$E$23))</f>
        <v/>
      </c>
      <c r="AC47" s="929" t="str">
        <f t="shared" si="7"/>
        <v/>
      </c>
      <c r="AD47" s="1151" t="str">
        <f t="shared" si="134"/>
        <v/>
      </c>
      <c r="AE47" s="1152"/>
      <c r="AF47" s="1121" t="str">
        <f t="shared" si="8"/>
        <v/>
      </c>
      <c r="AG47" s="1123" t="str">
        <f t="shared" si="135"/>
        <v/>
      </c>
      <c r="AH47" s="931" t="str">
        <f t="shared" si="9"/>
        <v/>
      </c>
      <c r="AI47" s="932" t="str">
        <f t="shared" si="10"/>
        <v/>
      </c>
      <c r="AJ47" s="1153" t="str">
        <f t="shared" si="11"/>
        <v/>
      </c>
      <c r="AK47" s="1154"/>
      <c r="AL47" s="933" t="str">
        <f t="shared" si="136"/>
        <v/>
      </c>
      <c r="AM47" s="1138" t="str">
        <f t="shared" si="12"/>
        <v/>
      </c>
      <c r="AN47" s="1139"/>
      <c r="AO47" s="1140"/>
      <c r="AQ47" s="1126"/>
      <c r="AU47" s="1116">
        <f t="shared" si="187"/>
        <v>0</v>
      </c>
      <c r="AV47" s="350" t="str">
        <f t="shared" si="137"/>
        <v/>
      </c>
      <c r="AW47" s="241">
        <f t="shared" si="13"/>
        <v>0</v>
      </c>
      <c r="AX47" s="241" t="str">
        <f t="shared" si="14"/>
        <v/>
      </c>
      <c r="AY47" s="241" t="str">
        <f t="shared" si="15"/>
        <v/>
      </c>
      <c r="AZ47" s="241" t="str">
        <f t="shared" si="16"/>
        <v/>
      </c>
      <c r="BA47" s="2"/>
      <c r="BB47" s="2"/>
      <c r="BC47" s="2"/>
      <c r="BD47" s="2"/>
      <c r="BE47" s="2"/>
      <c r="BF47" s="2"/>
      <c r="BG47" s="2"/>
      <c r="BH47" s="2"/>
      <c r="BI47" s="350" t="str">
        <f t="shared" si="138"/>
        <v>0</v>
      </c>
      <c r="BJ47" s="350">
        <f t="shared" si="139"/>
        <v>0</v>
      </c>
      <c r="BK47" s="911" t="str">
        <f t="shared" si="140"/>
        <v>NA</v>
      </c>
      <c r="BL47" s="911" t="str">
        <f t="shared" si="141"/>
        <v/>
      </c>
      <c r="BM47" s="911" t="str">
        <f t="shared" si="142"/>
        <v/>
      </c>
      <c r="BN47" s="2"/>
      <c r="BO47" s="2"/>
      <c r="BP47" s="2"/>
      <c r="BQ47" s="2"/>
      <c r="BR47" s="2"/>
      <c r="BS47" s="2"/>
      <c r="BT47" s="2"/>
      <c r="BU47" s="2"/>
      <c r="BV47" s="350" t="str">
        <f t="shared" si="143"/>
        <v/>
      </c>
      <c r="BW47" s="235" t="str">
        <f t="shared" si="144"/>
        <v/>
      </c>
      <c r="BX47" s="235" t="str">
        <f t="shared" si="145"/>
        <v/>
      </c>
      <c r="BY47" s="235" t="str">
        <f t="shared" si="146"/>
        <v/>
      </c>
      <c r="BZ47" s="235" t="str">
        <f t="shared" si="147"/>
        <v/>
      </c>
      <c r="CA47" s="235" t="str">
        <f t="shared" si="148"/>
        <v/>
      </c>
      <c r="CB47" s="235" t="str">
        <f t="shared" si="149"/>
        <v/>
      </c>
      <c r="CC47" s="235" t="str">
        <f t="shared" si="150"/>
        <v/>
      </c>
      <c r="CD47" s="235" t="str">
        <f t="shared" si="151"/>
        <v/>
      </c>
      <c r="CE47" s="235" t="str">
        <f t="shared" si="152"/>
        <v/>
      </c>
      <c r="CF47" s="235" t="str">
        <f t="shared" si="153"/>
        <v/>
      </c>
      <c r="CG47" s="235" t="str">
        <f t="shared" si="154"/>
        <v/>
      </c>
      <c r="CH47" s="235" t="str">
        <f t="shared" si="155"/>
        <v/>
      </c>
      <c r="CI47" s="235" t="str">
        <f t="shared" si="156"/>
        <v/>
      </c>
      <c r="CJ47" s="235" t="str">
        <f t="shared" si="157"/>
        <v/>
      </c>
      <c r="CK47" s="235" t="str">
        <f t="shared" si="158"/>
        <v/>
      </c>
      <c r="CL47" s="235" t="str">
        <f t="shared" si="159"/>
        <v/>
      </c>
      <c r="CM47" s="235" t="str">
        <f t="shared" si="160"/>
        <v/>
      </c>
      <c r="CN47" s="235" t="str">
        <f t="shared" si="161"/>
        <v/>
      </c>
      <c r="CO47" s="235" t="str">
        <f t="shared" si="162"/>
        <v/>
      </c>
      <c r="CP47" s="235" t="str">
        <f t="shared" si="163"/>
        <v/>
      </c>
      <c r="CQ47" s="2">
        <v>18</v>
      </c>
      <c r="CR47" s="207" t="str">
        <f t="shared" si="164"/>
        <v/>
      </c>
      <c r="CS47" s="227" t="str">
        <f t="shared" si="165"/>
        <v/>
      </c>
      <c r="CT47" s="209" t="str">
        <f t="shared" si="188"/>
        <v/>
      </c>
      <c r="CU47" s="227" t="str">
        <f t="shared" si="17"/>
        <v/>
      </c>
      <c r="CV47" s="43">
        <f t="shared" si="189"/>
        <v>0</v>
      </c>
      <c r="CW47" s="209" t="str">
        <f t="shared" si="190"/>
        <v/>
      </c>
      <c r="CX47" s="204" t="str">
        <f t="shared" si="191"/>
        <v/>
      </c>
      <c r="CY47" s="43">
        <f t="shared" si="166"/>
        <v>0</v>
      </c>
      <c r="CZ47" s="44">
        <f t="shared" si="193"/>
        <v>0</v>
      </c>
      <c r="DA47" s="45">
        <f t="shared" si="167"/>
        <v>0</v>
      </c>
      <c r="DB47" s="46">
        <f t="shared" si="18"/>
        <v>0</v>
      </c>
      <c r="DC47" s="47" t="str">
        <f t="shared" si="168"/>
        <v/>
      </c>
      <c r="DD47" s="52">
        <f t="shared" si="19"/>
        <v>0</v>
      </c>
      <c r="DE47" s="52">
        <f t="shared" si="20"/>
        <v>0</v>
      </c>
      <c r="DF47" s="52">
        <f t="shared" si="21"/>
        <v>0</v>
      </c>
      <c r="DG47" s="215">
        <f>IF(DC47="",0,MAX(DD47:DE47:DF47))</f>
        <v>0</v>
      </c>
      <c r="DH47" s="115" t="str">
        <f t="shared" si="22"/>
        <v/>
      </c>
      <c r="DI47" s="51" t="str">
        <f t="shared" si="23"/>
        <v/>
      </c>
      <c r="DJ47" s="51" t="str">
        <f t="shared" si="24"/>
        <v/>
      </c>
      <c r="DK47" s="49" t="str">
        <f t="shared" si="169"/>
        <v/>
      </c>
      <c r="DL47" s="52">
        <f t="shared" si="25"/>
        <v>0</v>
      </c>
      <c r="DM47" s="52">
        <f t="shared" si="26"/>
        <v>0</v>
      </c>
      <c r="DN47" s="52">
        <f t="shared" si="27"/>
        <v>0</v>
      </c>
      <c r="DO47" s="215">
        <f>IF(DK47="",0,MAX(DL47:DM47:DN47))</f>
        <v>0</v>
      </c>
      <c r="DP47" s="115" t="str">
        <f t="shared" si="28"/>
        <v/>
      </c>
      <c r="DQ47" s="51" t="str">
        <f t="shared" si="29"/>
        <v/>
      </c>
      <c r="DR47" s="51" t="str">
        <f t="shared" si="30"/>
        <v/>
      </c>
      <c r="DS47" s="49" t="str">
        <f t="shared" si="170"/>
        <v/>
      </c>
      <c r="DT47" s="52">
        <f t="shared" si="31"/>
        <v>0</v>
      </c>
      <c r="DU47" s="52">
        <f t="shared" si="32"/>
        <v>0</v>
      </c>
      <c r="DV47" s="52">
        <f t="shared" si="33"/>
        <v>0</v>
      </c>
      <c r="DW47" s="215">
        <f>IF(DS47="",0,MAX(DT47:DU47:DV47))</f>
        <v>0</v>
      </c>
      <c r="DX47" s="115" t="str">
        <f t="shared" si="34"/>
        <v/>
      </c>
      <c r="DY47" s="51" t="str">
        <f t="shared" si="35"/>
        <v/>
      </c>
      <c r="DZ47" s="51" t="str">
        <f t="shared" si="36"/>
        <v/>
      </c>
      <c r="EA47" s="49" t="str">
        <f t="shared" si="171"/>
        <v/>
      </c>
      <c r="EB47" s="52">
        <f t="shared" si="37"/>
        <v>0</v>
      </c>
      <c r="EC47" s="52">
        <f t="shared" si="38"/>
        <v>0</v>
      </c>
      <c r="ED47" s="52">
        <f t="shared" si="39"/>
        <v>0</v>
      </c>
      <c r="EE47" s="215">
        <f>IF(EA47="",0,MAX(EB47:EC47:ED47))</f>
        <v>0</v>
      </c>
      <c r="EF47" s="115" t="str">
        <f t="shared" si="40"/>
        <v/>
      </c>
      <c r="EG47" s="51" t="str">
        <f t="shared" si="41"/>
        <v/>
      </c>
      <c r="EH47" s="51" t="str">
        <f t="shared" si="42"/>
        <v/>
      </c>
      <c r="EI47" s="49" t="str">
        <f t="shared" si="172"/>
        <v/>
      </c>
      <c r="EJ47" s="52">
        <f t="shared" si="43"/>
        <v>0</v>
      </c>
      <c r="EK47" s="52">
        <f t="shared" si="44"/>
        <v>0</v>
      </c>
      <c r="EL47" s="52">
        <f t="shared" si="45"/>
        <v>0</v>
      </c>
      <c r="EM47" s="215">
        <f>IF(EI47="",0,MAX(EJ47:EK47:EL47))</f>
        <v>0</v>
      </c>
      <c r="EN47" s="115" t="str">
        <f t="shared" si="46"/>
        <v/>
      </c>
      <c r="EO47" s="51" t="str">
        <f t="shared" si="47"/>
        <v/>
      </c>
      <c r="EP47" s="51" t="str">
        <f t="shared" si="48"/>
        <v/>
      </c>
      <c r="EQ47" s="49" t="str">
        <f t="shared" si="173"/>
        <v/>
      </c>
      <c r="ER47" s="52">
        <f t="shared" si="49"/>
        <v>0</v>
      </c>
      <c r="ES47" s="52">
        <f t="shared" si="50"/>
        <v>0</v>
      </c>
      <c r="ET47" s="52">
        <f t="shared" si="51"/>
        <v>0</v>
      </c>
      <c r="EU47" s="215">
        <f>IF(EQ47="",0,MAX(ER47:ES47:ET47))</f>
        <v>0</v>
      </c>
      <c r="EV47" s="115" t="str">
        <f t="shared" si="52"/>
        <v/>
      </c>
      <c r="EW47" s="51" t="str">
        <f t="shared" si="53"/>
        <v/>
      </c>
      <c r="EX47" s="51" t="str">
        <f t="shared" si="54"/>
        <v/>
      </c>
      <c r="EY47" s="49" t="str">
        <f t="shared" si="174"/>
        <v/>
      </c>
      <c r="EZ47" s="52">
        <f t="shared" si="55"/>
        <v>0</v>
      </c>
      <c r="FA47" s="52">
        <f t="shared" si="56"/>
        <v>0</v>
      </c>
      <c r="FB47" s="52">
        <f t="shared" si="57"/>
        <v>0</v>
      </c>
      <c r="FC47" s="215">
        <f>IF(EY47="",0,MAX(EZ47:FA47:FB47))</f>
        <v>0</v>
      </c>
      <c r="FD47" s="115" t="str">
        <f t="shared" si="58"/>
        <v/>
      </c>
      <c r="FE47" s="51" t="str">
        <f t="shared" si="59"/>
        <v/>
      </c>
      <c r="FF47" s="51" t="str">
        <f t="shared" si="60"/>
        <v/>
      </c>
      <c r="FG47" s="49" t="str">
        <f t="shared" si="175"/>
        <v/>
      </c>
      <c r="FH47" s="52">
        <f t="shared" si="61"/>
        <v>0</v>
      </c>
      <c r="FI47" s="52">
        <f t="shared" si="62"/>
        <v>0</v>
      </c>
      <c r="FJ47" s="52">
        <f t="shared" si="63"/>
        <v>0</v>
      </c>
      <c r="FK47" s="215">
        <f>IF(FG47="",0,MAX(FH47:FI47:FJ47))</f>
        <v>0</v>
      </c>
      <c r="FL47" s="115" t="str">
        <f t="shared" si="64"/>
        <v/>
      </c>
      <c r="FM47" s="51" t="str">
        <f t="shared" si="65"/>
        <v/>
      </c>
      <c r="FN47" s="51" t="str">
        <f t="shared" si="66"/>
        <v/>
      </c>
      <c r="FO47" s="49" t="str">
        <f t="shared" si="176"/>
        <v/>
      </c>
      <c r="FP47" s="52">
        <f t="shared" si="67"/>
        <v>0</v>
      </c>
      <c r="FQ47" s="52">
        <f t="shared" si="68"/>
        <v>0</v>
      </c>
      <c r="FR47" s="52">
        <f t="shared" si="69"/>
        <v>0</v>
      </c>
      <c r="FS47" s="215">
        <f>IF(FO47="",0,MAX(FP47:FQ47:FR47))</f>
        <v>0</v>
      </c>
      <c r="FT47" s="115" t="str">
        <f t="shared" si="70"/>
        <v/>
      </c>
      <c r="FU47" s="51" t="str">
        <f t="shared" si="71"/>
        <v/>
      </c>
      <c r="FV47" s="51" t="str">
        <f t="shared" si="72"/>
        <v/>
      </c>
      <c r="FW47" s="49" t="str">
        <f t="shared" si="177"/>
        <v/>
      </c>
      <c r="FX47" s="52">
        <f t="shared" si="73"/>
        <v>0</v>
      </c>
      <c r="FY47" s="52">
        <f t="shared" si="74"/>
        <v>0</v>
      </c>
      <c r="FZ47" s="52">
        <f t="shared" si="75"/>
        <v>0</v>
      </c>
      <c r="GA47" s="215">
        <f>IF(FW47="",0,MAX(FX47:FY47:FZ47))</f>
        <v>0</v>
      </c>
      <c r="GB47" s="115" t="str">
        <f t="shared" si="76"/>
        <v/>
      </c>
      <c r="GC47" s="51" t="str">
        <f t="shared" si="77"/>
        <v/>
      </c>
      <c r="GD47" s="51" t="str">
        <f t="shared" si="78"/>
        <v/>
      </c>
      <c r="GE47" s="49" t="str">
        <f t="shared" si="178"/>
        <v/>
      </c>
      <c r="GF47" s="52">
        <f t="shared" si="79"/>
        <v>0</v>
      </c>
      <c r="GG47" s="52">
        <f t="shared" si="80"/>
        <v>0</v>
      </c>
      <c r="GH47" s="52">
        <f t="shared" si="81"/>
        <v>0</v>
      </c>
      <c r="GI47" s="215">
        <f>IF(GE47="",0,MAX(GF47:GG47:GH47))</f>
        <v>0</v>
      </c>
      <c r="GJ47" s="115" t="str">
        <f t="shared" si="82"/>
        <v/>
      </c>
      <c r="GK47" s="51" t="str">
        <f t="shared" si="83"/>
        <v/>
      </c>
      <c r="GL47" s="51" t="str">
        <f t="shared" si="84"/>
        <v/>
      </c>
      <c r="GM47" s="49" t="str">
        <f t="shared" si="179"/>
        <v/>
      </c>
      <c r="GN47" s="52">
        <f t="shared" si="85"/>
        <v>0</v>
      </c>
      <c r="GO47" s="52">
        <f t="shared" si="86"/>
        <v>0</v>
      </c>
      <c r="GP47" s="52">
        <f t="shared" si="87"/>
        <v>0</v>
      </c>
      <c r="GQ47" s="215">
        <f>IF(GM47="",0,MAX(GN47:GO47:GP47))</f>
        <v>0</v>
      </c>
      <c r="GR47" s="115" t="str">
        <f t="shared" si="88"/>
        <v/>
      </c>
      <c r="GS47" s="51" t="str">
        <f t="shared" si="89"/>
        <v/>
      </c>
      <c r="GT47" s="51" t="str">
        <f t="shared" si="90"/>
        <v/>
      </c>
      <c r="GU47" s="49" t="str">
        <f t="shared" si="180"/>
        <v/>
      </c>
      <c r="GV47" s="52">
        <f t="shared" si="91"/>
        <v>0</v>
      </c>
      <c r="GW47" s="52">
        <f t="shared" si="92"/>
        <v>0</v>
      </c>
      <c r="GX47" s="52">
        <f t="shared" si="93"/>
        <v>0</v>
      </c>
      <c r="GY47" s="215">
        <f>IF(GU47="",0,MAX(GV47:GW47:GX47))</f>
        <v>0</v>
      </c>
      <c r="GZ47" s="115" t="str">
        <f t="shared" si="94"/>
        <v/>
      </c>
      <c r="HA47" s="51" t="str">
        <f t="shared" si="95"/>
        <v/>
      </c>
      <c r="HB47" s="51" t="str">
        <f t="shared" si="96"/>
        <v/>
      </c>
      <c r="HC47" s="49" t="str">
        <f t="shared" si="181"/>
        <v/>
      </c>
      <c r="HD47" s="52">
        <f t="shared" si="97"/>
        <v>0</v>
      </c>
      <c r="HE47" s="52">
        <f t="shared" si="98"/>
        <v>0</v>
      </c>
      <c r="HF47" s="52">
        <f t="shared" si="99"/>
        <v>0</v>
      </c>
      <c r="HG47" s="215">
        <f>IF(HC47="",0,MAX(HD47:HE47:HF47))</f>
        <v>0</v>
      </c>
      <c r="HH47" s="115" t="str">
        <f t="shared" si="100"/>
        <v/>
      </c>
      <c r="HI47" s="51" t="str">
        <f t="shared" si="101"/>
        <v/>
      </c>
      <c r="HJ47" s="51" t="str">
        <f t="shared" si="102"/>
        <v/>
      </c>
      <c r="HK47" s="49" t="str">
        <f t="shared" si="182"/>
        <v/>
      </c>
      <c r="HL47" s="52">
        <f t="shared" si="103"/>
        <v>0</v>
      </c>
      <c r="HM47" s="52">
        <f t="shared" si="104"/>
        <v>0</v>
      </c>
      <c r="HN47" s="52">
        <f t="shared" si="105"/>
        <v>0</v>
      </c>
      <c r="HO47" s="215">
        <f>IF(HK47="",0,MAX(HL47:HM47:HN47))</f>
        <v>0</v>
      </c>
      <c r="HP47" s="115" t="str">
        <f t="shared" si="106"/>
        <v/>
      </c>
      <c r="HQ47" s="51" t="str">
        <f t="shared" si="107"/>
        <v/>
      </c>
      <c r="HR47" s="51" t="str">
        <f t="shared" si="108"/>
        <v/>
      </c>
      <c r="HS47" s="49" t="str">
        <f t="shared" si="183"/>
        <v/>
      </c>
      <c r="HT47" s="52">
        <f t="shared" si="109"/>
        <v>0</v>
      </c>
      <c r="HU47" s="52">
        <f t="shared" si="110"/>
        <v>0</v>
      </c>
      <c r="HV47" s="52">
        <f t="shared" si="111"/>
        <v>0</v>
      </c>
      <c r="HW47" s="215">
        <f>IF(HS47="",0,MAX(HT47:HU47:HV47))</f>
        <v>0</v>
      </c>
      <c r="HX47" s="115" t="str">
        <f t="shared" si="112"/>
        <v/>
      </c>
      <c r="HY47" s="51" t="str">
        <f t="shared" si="113"/>
        <v/>
      </c>
      <c r="HZ47" s="51" t="str">
        <f t="shared" si="114"/>
        <v/>
      </c>
      <c r="IA47" s="49" t="str">
        <f t="shared" si="184"/>
        <v/>
      </c>
      <c r="IB47" s="52">
        <f t="shared" si="115"/>
        <v>0</v>
      </c>
      <c r="IC47" s="52">
        <f t="shared" si="116"/>
        <v>0</v>
      </c>
      <c r="ID47" s="52">
        <f t="shared" si="117"/>
        <v>0</v>
      </c>
      <c r="IE47" s="215">
        <f>IF(IA47="",0,MAX(IB47:IC47:ID47))</f>
        <v>0</v>
      </c>
      <c r="IF47" s="115" t="str">
        <f t="shared" si="118"/>
        <v/>
      </c>
      <c r="IG47" s="51" t="str">
        <f t="shared" si="119"/>
        <v/>
      </c>
      <c r="IH47" s="51" t="str">
        <f t="shared" si="120"/>
        <v/>
      </c>
      <c r="II47" s="49" t="str">
        <f t="shared" si="185"/>
        <v/>
      </c>
      <c r="IJ47" s="52">
        <f t="shared" si="121"/>
        <v>0</v>
      </c>
      <c r="IK47" s="52">
        <f t="shared" si="122"/>
        <v>0</v>
      </c>
      <c r="IL47" s="52">
        <f t="shared" si="123"/>
        <v>0</v>
      </c>
      <c r="IM47" s="215">
        <f>IF(II47="",0,MAX(IJ47:IK47:IL47))</f>
        <v>0</v>
      </c>
      <c r="IN47" s="115" t="str">
        <f t="shared" si="124"/>
        <v/>
      </c>
      <c r="IO47" s="51" t="str">
        <f t="shared" si="125"/>
        <v/>
      </c>
      <c r="IP47" s="51" t="str">
        <f t="shared" si="126"/>
        <v/>
      </c>
      <c r="IQ47" s="49" t="str">
        <f t="shared" si="186"/>
        <v/>
      </c>
      <c r="IR47" s="52">
        <f t="shared" si="127"/>
        <v>0</v>
      </c>
      <c r="IS47" s="52">
        <f t="shared" si="128"/>
        <v>0</v>
      </c>
      <c r="IT47" s="52">
        <f t="shared" si="129"/>
        <v>0</v>
      </c>
      <c r="IU47" s="215">
        <f>IF(IQ47="",0,MAX(IR47:IS47:IT47))</f>
        <v>0</v>
      </c>
    </row>
    <row r="48" spans="1:256" s="16" customFormat="1" ht="18" customHeight="1" thickTop="1" thickBot="1" x14ac:dyDescent="0.35">
      <c r="A48" s="902" t="str">
        <f t="shared" si="130"/>
        <v/>
      </c>
      <c r="B48" s="903"/>
      <c r="C48" s="708"/>
      <c r="D48" s="709" t="str">
        <f t="shared" si="131"/>
        <v/>
      </c>
      <c r="E48" s="843" t="str">
        <f>IF(D48="","",SUM(D$30:D48))</f>
        <v/>
      </c>
      <c r="F48" s="951"/>
      <c r="G48" s="952"/>
      <c r="H48" s="953"/>
      <c r="I48" s="954"/>
      <c r="J48" s="955"/>
      <c r="K48" s="956"/>
      <c r="L48" s="925"/>
      <c r="M48" s="927" t="str">
        <f t="shared" si="132"/>
        <v/>
      </c>
      <c r="N48" s="934" t="str">
        <f>IF(AND(H48="",I48=""),"",IF($D$19="x",1,IF($K$16="",LOOKUP((H48+I48),'Quadro 2 Ordenado'!$B$6:'Quadro 2 Ordenado'!$B$107,'Quadro 2 Ordenado'!$C$6:'Quadro 2 Ordenado'!$C$107),LOOKUP((H48+I48),'Quadro 2 Ordenado'!$B$6:'Quadro 2 Ordenado'!$B$107,'Quadro 2 Ordenado'!$D$6:'Quadro 2 Ordenado'!$D$107))))</f>
        <v/>
      </c>
      <c r="O48" s="50"/>
      <c r="P48" s="928" t="str">
        <f t="shared" si="133"/>
        <v/>
      </c>
      <c r="S48" s="935" t="str">
        <f t="shared" si="5"/>
        <v/>
      </c>
      <c r="T48" s="111" t="str">
        <f t="shared" si="6"/>
        <v/>
      </c>
      <c r="U48" s="926"/>
      <c r="V48" s="610" t="str">
        <f>IF(T48="","",IF(U48&lt;&gt;"",U48,T48))</f>
        <v/>
      </c>
      <c r="W48" s="936" t="str">
        <f>IF(OR(T48="",T48=0),"",IF($V48&gt;'Quadro 3'!$F$23,'Quadro 3'!$F$23,IF($V48&lt;'Quadro 3'!$F$10,'Quadro 3'!$F$10,MIN($X48,$Y48))))</f>
        <v/>
      </c>
      <c r="X48" s="937" t="str">
        <f>IF($V48&lt;='Quadro 3'!$F$10,'Quadro 3'!$F$10,IF($V48&lt;='Quadro 3'!$F$11,'Quadro 3'!$F$11,IF($V48&lt;='Quadro 3'!$F$12,'Quadro 3'!$F$12,IF($V48&lt;='Quadro 3'!$F$13,'Quadro 3'!$F$13,IF($V48&lt;='Quadro 3'!$F$14,'Quadro 3'!$F$14,IF($V48&lt;='Quadro 3'!$F$15,'Quadro 3'!$F$15,IF($V48&lt;='Quadro 3'!$F$16,'Quadro 3'!$F$16,"")))))))</f>
        <v/>
      </c>
      <c r="Y48" s="938" t="str">
        <f>IF(OR(T48="",T48=0),"",IF($V48&lt;='Quadro 3'!$F$17,'Quadro 3'!$F$17,IF($V48&lt;='Quadro 3'!$F$18,'Quadro 3'!$F$18,IF($V48&lt;='Quadro 3'!$F$19,'Quadro 3'!$F$19,IF($V48&lt;='Quadro 3'!$F$20,'Quadro 3'!$F$20,IF($V48&lt;='Quadro 3'!$F$21,'Quadro 3'!$F$21,IF($V48&lt;='Quadro 3'!$F$22,'Quadro 3'!$F$22,IF($V48&lt;='Quadro 3'!$F$23,'Quadro 3'!$F$23,'Quadro 3'!$F$23))))))))</f>
        <v/>
      </c>
      <c r="Z48" s="936" t="str">
        <f>IF($W48="","",LOOKUP($W48,'Quadro 3'!$F$9:$F$23,'Quadro 3'!$G$9:$G$23))</f>
        <v/>
      </c>
      <c r="AA48" s="1129" t="str">
        <f>IF($W48="","",LOOKUP($W48,'Quadro 3'!$F$9:$F$23,'Quadro 3'!$D$9:$D$23))</f>
        <v/>
      </c>
      <c r="AB48" s="939" t="str">
        <f>IF($W48="","",LOOKUP($W48,'Quadro 3'!$F$9:$F$23,'Quadro 3'!$E$9:$E$23))</f>
        <v/>
      </c>
      <c r="AC48" s="929" t="str">
        <f t="shared" si="7"/>
        <v/>
      </c>
      <c r="AD48" s="1151" t="str">
        <f t="shared" si="134"/>
        <v/>
      </c>
      <c r="AE48" s="1152"/>
      <c r="AF48" s="1121" t="str">
        <f t="shared" si="8"/>
        <v/>
      </c>
      <c r="AG48" s="1123" t="str">
        <f t="shared" si="135"/>
        <v/>
      </c>
      <c r="AH48" s="931" t="str">
        <f t="shared" si="9"/>
        <v/>
      </c>
      <c r="AI48" s="932" t="str">
        <f t="shared" si="10"/>
        <v/>
      </c>
      <c r="AJ48" s="1153" t="str">
        <f t="shared" si="11"/>
        <v/>
      </c>
      <c r="AK48" s="1154"/>
      <c r="AL48" s="933" t="str">
        <f t="shared" si="136"/>
        <v/>
      </c>
      <c r="AM48" s="1138" t="str">
        <f t="shared" si="12"/>
        <v/>
      </c>
      <c r="AN48" s="1139"/>
      <c r="AO48" s="1140"/>
      <c r="AQ48" s="1126"/>
      <c r="AU48" s="1116">
        <f t="shared" si="187"/>
        <v>0</v>
      </c>
      <c r="AV48" s="350" t="str">
        <f t="shared" si="137"/>
        <v/>
      </c>
      <c r="AW48" s="241">
        <f t="shared" si="13"/>
        <v>0</v>
      </c>
      <c r="AX48" s="241" t="str">
        <f t="shared" si="14"/>
        <v/>
      </c>
      <c r="AY48" s="241" t="str">
        <f t="shared" si="15"/>
        <v/>
      </c>
      <c r="AZ48" s="241" t="str">
        <f t="shared" si="16"/>
        <v/>
      </c>
      <c r="BA48" s="2"/>
      <c r="BB48" s="2"/>
      <c r="BC48" s="2"/>
      <c r="BD48" s="2"/>
      <c r="BE48" s="2"/>
      <c r="BF48" s="2"/>
      <c r="BG48" s="2"/>
      <c r="BH48" s="2"/>
      <c r="BI48" s="350" t="str">
        <f t="shared" si="138"/>
        <v>0</v>
      </c>
      <c r="BJ48" s="350">
        <f t="shared" si="139"/>
        <v>0</v>
      </c>
      <c r="BK48" s="911" t="str">
        <f t="shared" si="140"/>
        <v>NA</v>
      </c>
      <c r="BL48" s="911" t="str">
        <f t="shared" si="141"/>
        <v/>
      </c>
      <c r="BM48" s="911" t="str">
        <f t="shared" si="142"/>
        <v/>
      </c>
      <c r="BN48" s="2"/>
      <c r="BO48" s="2"/>
      <c r="BP48" s="2"/>
      <c r="BQ48" s="2"/>
      <c r="BR48" s="2"/>
      <c r="BS48" s="2"/>
      <c r="BT48" s="2"/>
      <c r="BU48" s="2"/>
      <c r="BV48" s="350" t="str">
        <f t="shared" si="143"/>
        <v/>
      </c>
      <c r="BW48" s="235" t="str">
        <f t="shared" si="144"/>
        <v/>
      </c>
      <c r="BX48" s="235" t="str">
        <f t="shared" si="145"/>
        <v/>
      </c>
      <c r="BY48" s="235" t="str">
        <f t="shared" si="146"/>
        <v/>
      </c>
      <c r="BZ48" s="235" t="str">
        <f t="shared" si="147"/>
        <v/>
      </c>
      <c r="CA48" s="235" t="str">
        <f t="shared" si="148"/>
        <v/>
      </c>
      <c r="CB48" s="235" t="str">
        <f t="shared" si="149"/>
        <v/>
      </c>
      <c r="CC48" s="235" t="str">
        <f t="shared" si="150"/>
        <v/>
      </c>
      <c r="CD48" s="235" t="str">
        <f t="shared" si="151"/>
        <v/>
      </c>
      <c r="CE48" s="235" t="str">
        <f t="shared" si="152"/>
        <v/>
      </c>
      <c r="CF48" s="235" t="str">
        <f t="shared" si="153"/>
        <v/>
      </c>
      <c r="CG48" s="235" t="str">
        <f t="shared" si="154"/>
        <v/>
      </c>
      <c r="CH48" s="235" t="str">
        <f t="shared" si="155"/>
        <v/>
      </c>
      <c r="CI48" s="235" t="str">
        <f t="shared" si="156"/>
        <v/>
      </c>
      <c r="CJ48" s="235" t="str">
        <f t="shared" si="157"/>
        <v/>
      </c>
      <c r="CK48" s="235" t="str">
        <f t="shared" si="158"/>
        <v/>
      </c>
      <c r="CL48" s="235" t="str">
        <f t="shared" si="159"/>
        <v/>
      </c>
      <c r="CM48" s="235" t="str">
        <f t="shared" si="160"/>
        <v/>
      </c>
      <c r="CN48" s="235" t="str">
        <f t="shared" si="161"/>
        <v/>
      </c>
      <c r="CO48" s="235" t="str">
        <f t="shared" si="162"/>
        <v/>
      </c>
      <c r="CP48" s="235" t="str">
        <f t="shared" si="163"/>
        <v/>
      </c>
      <c r="CQ48" s="2">
        <v>19</v>
      </c>
      <c r="CR48" s="207" t="str">
        <f t="shared" si="164"/>
        <v/>
      </c>
      <c r="CS48" s="227" t="str">
        <f t="shared" si="165"/>
        <v/>
      </c>
      <c r="CT48" s="209" t="str">
        <f t="shared" si="188"/>
        <v/>
      </c>
      <c r="CU48" s="227" t="str">
        <f t="shared" si="17"/>
        <v/>
      </c>
      <c r="CV48" s="43">
        <f t="shared" si="189"/>
        <v>0</v>
      </c>
      <c r="CW48" s="209" t="str">
        <f t="shared" si="190"/>
        <v/>
      </c>
      <c r="CX48" s="204" t="str">
        <f t="shared" si="191"/>
        <v/>
      </c>
      <c r="CY48" s="43">
        <f t="shared" si="166"/>
        <v>0</v>
      </c>
      <c r="CZ48" s="44">
        <f t="shared" si="193"/>
        <v>0</v>
      </c>
      <c r="DA48" s="45">
        <f t="shared" si="167"/>
        <v>0</v>
      </c>
      <c r="DB48" s="46">
        <f t="shared" si="18"/>
        <v>0</v>
      </c>
      <c r="DC48" s="47" t="str">
        <f t="shared" si="168"/>
        <v/>
      </c>
      <c r="DD48" s="52">
        <f t="shared" si="19"/>
        <v>0</v>
      </c>
      <c r="DE48" s="52">
        <f t="shared" si="20"/>
        <v>0</v>
      </c>
      <c r="DF48" s="52">
        <f t="shared" si="21"/>
        <v>0</v>
      </c>
      <c r="DG48" s="215">
        <f>IF(DC48="",0,MAX(DD48:DE48:DF48))</f>
        <v>0</v>
      </c>
      <c r="DH48" s="115" t="str">
        <f>IF(DC48="","",IF(DC48=$G$30,$F$30,IF(DC48=$G$31,$F$31,IF(DC48=$G$32,$F$32,IF(DC48=$G$33,$F$33,IF(DC48=$G$34,$F$34,IF(DC48=$G$35,$F$35,IF(DC48=$G$36,$F$36,""))))))))</f>
        <v/>
      </c>
      <c r="DI48" s="51" t="str">
        <f>IF(DC48="","",IF(DC48=$G$37,$F$37,IF(DC48=$G$38,$F$38,IF(DC48=$G$39,$F$39,IF(DC48=$G$40,$F$40,IF(DC48=$G$41,$F$41,IF(DC48=$G$42,$F$42,IF(DC48=$G$43,$F$43,""))))))))</f>
        <v/>
      </c>
      <c r="DJ48" s="51" t="str">
        <f>IF(DC48="","",IF(DC48=$G$44,$F$44,IF(DC48=$G$45,$F$45,IF(DC48=$G$46,$F$46,IF(DC48=$G$47,$F$47,IF(DC48=$G$48,$F$48,IF(DC48=$G$49,$F$49,"")))))))</f>
        <v/>
      </c>
      <c r="DK48" s="49" t="str">
        <f t="shared" si="169"/>
        <v/>
      </c>
      <c r="DL48" s="52">
        <f t="shared" si="25"/>
        <v>0</v>
      </c>
      <c r="DM48" s="52">
        <f t="shared" si="26"/>
        <v>0</v>
      </c>
      <c r="DN48" s="52">
        <f t="shared" si="27"/>
        <v>0</v>
      </c>
      <c r="DO48" s="215">
        <f>IF(DK48="",0,MAX(DL48:DM48:DN48))</f>
        <v>0</v>
      </c>
      <c r="DP48" s="115" t="str">
        <f t="shared" si="28"/>
        <v/>
      </c>
      <c r="DQ48" s="51" t="str">
        <f t="shared" si="29"/>
        <v/>
      </c>
      <c r="DR48" s="51" t="str">
        <f t="shared" si="30"/>
        <v/>
      </c>
      <c r="DS48" s="49" t="str">
        <f t="shared" si="170"/>
        <v/>
      </c>
      <c r="DT48" s="52">
        <f t="shared" si="31"/>
        <v>0</v>
      </c>
      <c r="DU48" s="52">
        <f t="shared" si="32"/>
        <v>0</v>
      </c>
      <c r="DV48" s="52">
        <f t="shared" si="33"/>
        <v>0</v>
      </c>
      <c r="DW48" s="215">
        <f>IF(DS48="",0,MAX(DT48:DU48:DV48))</f>
        <v>0</v>
      </c>
      <c r="DX48" s="115" t="str">
        <f t="shared" si="34"/>
        <v/>
      </c>
      <c r="DY48" s="51" t="str">
        <f t="shared" si="35"/>
        <v/>
      </c>
      <c r="DZ48" s="51" t="str">
        <f t="shared" si="36"/>
        <v/>
      </c>
      <c r="EA48" s="49" t="str">
        <f t="shared" si="171"/>
        <v/>
      </c>
      <c r="EB48" s="52">
        <f t="shared" si="37"/>
        <v>0</v>
      </c>
      <c r="EC48" s="52">
        <f t="shared" si="38"/>
        <v>0</v>
      </c>
      <c r="ED48" s="52">
        <f t="shared" si="39"/>
        <v>0</v>
      </c>
      <c r="EE48" s="215">
        <f>IF(EA48="",0,MAX(EB48:EC48:ED48))</f>
        <v>0</v>
      </c>
      <c r="EF48" s="115" t="str">
        <f t="shared" si="40"/>
        <v/>
      </c>
      <c r="EG48" s="51" t="str">
        <f t="shared" si="41"/>
        <v/>
      </c>
      <c r="EH48" s="51" t="str">
        <f t="shared" si="42"/>
        <v/>
      </c>
      <c r="EI48" s="49" t="str">
        <f t="shared" si="172"/>
        <v/>
      </c>
      <c r="EJ48" s="52">
        <f t="shared" si="43"/>
        <v>0</v>
      </c>
      <c r="EK48" s="52">
        <f t="shared" si="44"/>
        <v>0</v>
      </c>
      <c r="EL48" s="52">
        <f t="shared" si="45"/>
        <v>0</v>
      </c>
      <c r="EM48" s="215">
        <f>IF(EI48="",0,MAX(EJ48:EK48:EL48))</f>
        <v>0</v>
      </c>
      <c r="EN48" s="115" t="str">
        <f t="shared" si="46"/>
        <v/>
      </c>
      <c r="EO48" s="51" t="str">
        <f t="shared" si="47"/>
        <v/>
      </c>
      <c r="EP48" s="51" t="str">
        <f t="shared" si="48"/>
        <v/>
      </c>
      <c r="EQ48" s="49" t="str">
        <f t="shared" si="173"/>
        <v/>
      </c>
      <c r="ER48" s="52">
        <f t="shared" si="49"/>
        <v>0</v>
      </c>
      <c r="ES48" s="52">
        <f t="shared" si="50"/>
        <v>0</v>
      </c>
      <c r="ET48" s="52">
        <f t="shared" si="51"/>
        <v>0</v>
      </c>
      <c r="EU48" s="215">
        <f>IF(EQ48="",0,MAX(ER48:ES48:ET48))</f>
        <v>0</v>
      </c>
      <c r="EV48" s="115" t="str">
        <f t="shared" si="52"/>
        <v/>
      </c>
      <c r="EW48" s="51" t="str">
        <f t="shared" si="53"/>
        <v/>
      </c>
      <c r="EX48" s="51" t="str">
        <f t="shared" si="54"/>
        <v/>
      </c>
      <c r="EY48" s="49" t="str">
        <f t="shared" si="174"/>
        <v/>
      </c>
      <c r="EZ48" s="52">
        <f t="shared" si="55"/>
        <v>0</v>
      </c>
      <c r="FA48" s="52">
        <f t="shared" si="56"/>
        <v>0</v>
      </c>
      <c r="FB48" s="52">
        <f t="shared" si="57"/>
        <v>0</v>
      </c>
      <c r="FC48" s="215">
        <f>IF(EY48="",0,MAX(EZ48:FA48:FB48))</f>
        <v>0</v>
      </c>
      <c r="FD48" s="115" t="str">
        <f t="shared" si="58"/>
        <v/>
      </c>
      <c r="FE48" s="51" t="str">
        <f t="shared" si="59"/>
        <v/>
      </c>
      <c r="FF48" s="51" t="str">
        <f t="shared" si="60"/>
        <v/>
      </c>
      <c r="FG48" s="49" t="str">
        <f t="shared" si="175"/>
        <v/>
      </c>
      <c r="FH48" s="52">
        <f t="shared" si="61"/>
        <v>0</v>
      </c>
      <c r="FI48" s="52">
        <f t="shared" si="62"/>
        <v>0</v>
      </c>
      <c r="FJ48" s="52">
        <f t="shared" si="63"/>
        <v>0</v>
      </c>
      <c r="FK48" s="215">
        <f>IF(FG48="",0,MAX(FH48:FI48:FJ48))</f>
        <v>0</v>
      </c>
      <c r="FL48" s="115" t="str">
        <f t="shared" si="64"/>
        <v/>
      </c>
      <c r="FM48" s="51" t="str">
        <f t="shared" si="65"/>
        <v/>
      </c>
      <c r="FN48" s="51" t="str">
        <f t="shared" si="66"/>
        <v/>
      </c>
      <c r="FO48" s="49" t="str">
        <f t="shared" si="176"/>
        <v/>
      </c>
      <c r="FP48" s="52">
        <f t="shared" si="67"/>
        <v>0</v>
      </c>
      <c r="FQ48" s="52">
        <f t="shared" si="68"/>
        <v>0</v>
      </c>
      <c r="FR48" s="52">
        <f t="shared" si="69"/>
        <v>0</v>
      </c>
      <c r="FS48" s="215">
        <f>IF(FO48="",0,MAX(FP48:FQ48:FR48))</f>
        <v>0</v>
      </c>
      <c r="FT48" s="115" t="str">
        <f t="shared" si="70"/>
        <v/>
      </c>
      <c r="FU48" s="51" t="str">
        <f t="shared" si="71"/>
        <v/>
      </c>
      <c r="FV48" s="51" t="str">
        <f t="shared" si="72"/>
        <v/>
      </c>
      <c r="FW48" s="49" t="str">
        <f t="shared" si="177"/>
        <v/>
      </c>
      <c r="FX48" s="52">
        <f t="shared" si="73"/>
        <v>0</v>
      </c>
      <c r="FY48" s="52">
        <f t="shared" si="74"/>
        <v>0</v>
      </c>
      <c r="FZ48" s="52">
        <f t="shared" si="75"/>
        <v>0</v>
      </c>
      <c r="GA48" s="215">
        <f>IF(FW48="",0,MAX(FX48:FY48:FZ48))</f>
        <v>0</v>
      </c>
      <c r="GB48" s="115" t="str">
        <f t="shared" si="76"/>
        <v/>
      </c>
      <c r="GC48" s="51" t="str">
        <f t="shared" si="77"/>
        <v/>
      </c>
      <c r="GD48" s="51" t="str">
        <f t="shared" si="78"/>
        <v/>
      </c>
      <c r="GE48" s="49" t="str">
        <f t="shared" si="178"/>
        <v/>
      </c>
      <c r="GF48" s="52">
        <f t="shared" si="79"/>
        <v>0</v>
      </c>
      <c r="GG48" s="52">
        <f t="shared" si="80"/>
        <v>0</v>
      </c>
      <c r="GH48" s="52">
        <f t="shared" si="81"/>
        <v>0</v>
      </c>
      <c r="GI48" s="215">
        <f>IF(GE48="",0,MAX(GF48:GG48:GH48))</f>
        <v>0</v>
      </c>
      <c r="GJ48" s="115" t="str">
        <f t="shared" si="82"/>
        <v/>
      </c>
      <c r="GK48" s="51" t="str">
        <f t="shared" si="83"/>
        <v/>
      </c>
      <c r="GL48" s="51" t="str">
        <f t="shared" si="84"/>
        <v/>
      </c>
      <c r="GM48" s="49" t="str">
        <f t="shared" si="179"/>
        <v/>
      </c>
      <c r="GN48" s="52">
        <f t="shared" si="85"/>
        <v>0</v>
      </c>
      <c r="GO48" s="52">
        <f t="shared" si="86"/>
        <v>0</v>
      </c>
      <c r="GP48" s="52">
        <f t="shared" si="87"/>
        <v>0</v>
      </c>
      <c r="GQ48" s="215">
        <f>IF(GM48="",0,MAX(GN48:GO48:GP48))</f>
        <v>0</v>
      </c>
      <c r="GR48" s="115" t="str">
        <f t="shared" si="88"/>
        <v/>
      </c>
      <c r="GS48" s="51" t="str">
        <f t="shared" si="89"/>
        <v/>
      </c>
      <c r="GT48" s="51" t="str">
        <f t="shared" si="90"/>
        <v/>
      </c>
      <c r="GU48" s="49" t="str">
        <f t="shared" si="180"/>
        <v/>
      </c>
      <c r="GV48" s="52">
        <f t="shared" si="91"/>
        <v>0</v>
      </c>
      <c r="GW48" s="52">
        <f t="shared" si="92"/>
        <v>0</v>
      </c>
      <c r="GX48" s="52">
        <f t="shared" si="93"/>
        <v>0</v>
      </c>
      <c r="GY48" s="215">
        <f>IF(GU48="",0,MAX(GV48:GW48:GX48))</f>
        <v>0</v>
      </c>
      <c r="GZ48" s="115" t="str">
        <f t="shared" si="94"/>
        <v/>
      </c>
      <c r="HA48" s="51" t="str">
        <f t="shared" si="95"/>
        <v/>
      </c>
      <c r="HB48" s="51" t="str">
        <f t="shared" si="96"/>
        <v/>
      </c>
      <c r="HC48" s="49" t="str">
        <f t="shared" si="181"/>
        <v/>
      </c>
      <c r="HD48" s="52">
        <f t="shared" si="97"/>
        <v>0</v>
      </c>
      <c r="HE48" s="52">
        <f t="shared" si="98"/>
        <v>0</v>
      </c>
      <c r="HF48" s="52">
        <f t="shared" si="99"/>
        <v>0</v>
      </c>
      <c r="HG48" s="215">
        <f>IF(HC48="",0,MAX(HD48:HE48:HF48))</f>
        <v>0</v>
      </c>
      <c r="HH48" s="115" t="str">
        <f t="shared" si="100"/>
        <v/>
      </c>
      <c r="HI48" s="51" t="str">
        <f t="shared" si="101"/>
        <v/>
      </c>
      <c r="HJ48" s="51" t="str">
        <f t="shared" si="102"/>
        <v/>
      </c>
      <c r="HK48" s="49" t="str">
        <f t="shared" si="182"/>
        <v/>
      </c>
      <c r="HL48" s="52">
        <f t="shared" si="103"/>
        <v>0</v>
      </c>
      <c r="HM48" s="52">
        <f t="shared" si="104"/>
        <v>0</v>
      </c>
      <c r="HN48" s="52">
        <f t="shared" si="105"/>
        <v>0</v>
      </c>
      <c r="HO48" s="215">
        <f>IF(HK48="",0,MAX(HL48:HM48:HN48))</f>
        <v>0</v>
      </c>
      <c r="HP48" s="115" t="str">
        <f t="shared" si="106"/>
        <v/>
      </c>
      <c r="HQ48" s="51" t="str">
        <f t="shared" si="107"/>
        <v/>
      </c>
      <c r="HR48" s="51" t="str">
        <f t="shared" si="108"/>
        <v/>
      </c>
      <c r="HS48" s="49" t="str">
        <f t="shared" si="183"/>
        <v/>
      </c>
      <c r="HT48" s="52">
        <f t="shared" si="109"/>
        <v>0</v>
      </c>
      <c r="HU48" s="52">
        <f t="shared" si="110"/>
        <v>0</v>
      </c>
      <c r="HV48" s="52">
        <f t="shared" si="111"/>
        <v>0</v>
      </c>
      <c r="HW48" s="215">
        <f>IF(HS48="",0,MAX(HT48:HU48:HV48))</f>
        <v>0</v>
      </c>
      <c r="HX48" s="115" t="str">
        <f t="shared" si="112"/>
        <v/>
      </c>
      <c r="HY48" s="51" t="str">
        <f t="shared" si="113"/>
        <v/>
      </c>
      <c r="HZ48" s="51" t="str">
        <f t="shared" si="114"/>
        <v/>
      </c>
      <c r="IA48" s="49" t="str">
        <f t="shared" si="184"/>
        <v/>
      </c>
      <c r="IB48" s="52">
        <f t="shared" si="115"/>
        <v>0</v>
      </c>
      <c r="IC48" s="52">
        <f t="shared" si="116"/>
        <v>0</v>
      </c>
      <c r="ID48" s="52">
        <f t="shared" si="117"/>
        <v>0</v>
      </c>
      <c r="IE48" s="215">
        <f>IF(IA48="",0,MAX(IB48:IC48:ID48))</f>
        <v>0</v>
      </c>
      <c r="IF48" s="115" t="str">
        <f t="shared" si="118"/>
        <v/>
      </c>
      <c r="IG48" s="51" t="str">
        <f t="shared" si="119"/>
        <v/>
      </c>
      <c r="IH48" s="51" t="str">
        <f t="shared" si="120"/>
        <v/>
      </c>
      <c r="II48" s="49" t="str">
        <f t="shared" si="185"/>
        <v/>
      </c>
      <c r="IJ48" s="52">
        <f t="shared" si="121"/>
        <v>0</v>
      </c>
      <c r="IK48" s="52">
        <f t="shared" si="122"/>
        <v>0</v>
      </c>
      <c r="IL48" s="52">
        <f t="shared" si="123"/>
        <v>0</v>
      </c>
      <c r="IM48" s="215">
        <f>IF(II48="",0,MAX(IJ48:IK48:IL48))</f>
        <v>0</v>
      </c>
      <c r="IN48" s="115" t="str">
        <f t="shared" si="124"/>
        <v/>
      </c>
      <c r="IO48" s="51" t="str">
        <f t="shared" si="125"/>
        <v/>
      </c>
      <c r="IP48" s="51" t="str">
        <f t="shared" si="126"/>
        <v/>
      </c>
      <c r="IQ48" s="49" t="str">
        <f t="shared" si="186"/>
        <v/>
      </c>
      <c r="IR48" s="52">
        <f t="shared" si="127"/>
        <v>0</v>
      </c>
      <c r="IS48" s="52">
        <f t="shared" si="128"/>
        <v>0</v>
      </c>
      <c r="IT48" s="52">
        <f t="shared" si="129"/>
        <v>0</v>
      </c>
      <c r="IU48" s="215">
        <f>IF(IQ48="",0,MAX(IR48:IS48:IT48))</f>
        <v>0</v>
      </c>
    </row>
    <row r="49" spans="1:255" s="16" customFormat="1" ht="18" customHeight="1" thickTop="1" thickBot="1" x14ac:dyDescent="0.35">
      <c r="A49" s="902" t="str">
        <f t="shared" si="130"/>
        <v/>
      </c>
      <c r="B49" s="903"/>
      <c r="C49" s="708"/>
      <c r="D49" s="709" t="str">
        <f t="shared" si="131"/>
        <v/>
      </c>
      <c r="E49" s="843" t="str">
        <f>IF(D49="","",SUM(D$30:D49))</f>
        <v/>
      </c>
      <c r="F49" s="951"/>
      <c r="G49" s="952"/>
      <c r="H49" s="953"/>
      <c r="I49" s="954"/>
      <c r="J49" s="955"/>
      <c r="K49" s="956"/>
      <c r="L49" s="925"/>
      <c r="M49" s="927" t="str">
        <f t="shared" si="132"/>
        <v/>
      </c>
      <c r="N49" s="934" t="str">
        <f>IF(AND(H49="",I49=""),"",IF($D$19="x",1,IF($K$16="",LOOKUP((H49+I49),'Quadro 2 Ordenado'!$B$6:'Quadro 2 Ordenado'!$B$107,'Quadro 2 Ordenado'!$C$6:'Quadro 2 Ordenado'!$C$107),LOOKUP((H49+I49),'Quadro 2 Ordenado'!$B$6:'Quadro 2 Ordenado'!$B$107,'Quadro 2 Ordenado'!$D$6:'Quadro 2 Ordenado'!$D$107))))</f>
        <v/>
      </c>
      <c r="O49" s="50"/>
      <c r="P49" s="928" t="str">
        <f t="shared" si="133"/>
        <v/>
      </c>
      <c r="S49" s="935" t="str">
        <f t="shared" si="5"/>
        <v/>
      </c>
      <c r="T49" s="111" t="str">
        <f t="shared" si="6"/>
        <v/>
      </c>
      <c r="U49" s="926"/>
      <c r="V49" s="610" t="str">
        <f>IF(T49="","",IF(U49&lt;&gt;"",U49,T49))</f>
        <v/>
      </c>
      <c r="W49" s="936" t="str">
        <f>IF(OR(T49="",T49=0),"",IF($V49&gt;'Quadro 3'!$F$23,'Quadro 3'!$F$23,IF($V49&lt;'Quadro 3'!$F$10,'Quadro 3'!$F$10,MIN($X49,$Y49))))</f>
        <v/>
      </c>
      <c r="X49" s="937" t="str">
        <f>IF($V49&lt;='Quadro 3'!$F$10,'Quadro 3'!$F$10,IF($V49&lt;='Quadro 3'!$F$11,'Quadro 3'!$F$11,IF($V49&lt;='Quadro 3'!$F$12,'Quadro 3'!$F$12,IF($V49&lt;='Quadro 3'!$F$13,'Quadro 3'!$F$13,IF($V49&lt;='Quadro 3'!$F$14,'Quadro 3'!$F$14,IF($V49&lt;='Quadro 3'!$F$15,'Quadro 3'!$F$15,IF($V49&lt;='Quadro 3'!$F$16,'Quadro 3'!$F$16,"")))))))</f>
        <v/>
      </c>
      <c r="Y49" s="938" t="str">
        <f>IF(OR(T49="",T49=0),"",IF($V49&lt;='Quadro 3'!$F$17,'Quadro 3'!$F$17,IF($V49&lt;='Quadro 3'!$F$18,'Quadro 3'!$F$18,IF($V49&lt;='Quadro 3'!$F$19,'Quadro 3'!$F$19,IF($V49&lt;='Quadro 3'!$F$20,'Quadro 3'!$F$20,IF($V49&lt;='Quadro 3'!$F$21,'Quadro 3'!$F$21,IF($V49&lt;='Quadro 3'!$F$22,'Quadro 3'!$F$22,IF($V49&lt;='Quadro 3'!$F$23,'Quadro 3'!$F$23,'Quadro 3'!$F$23))))))))</f>
        <v/>
      </c>
      <c r="Z49" s="936" t="str">
        <f>IF($W49="","",LOOKUP($W49,'Quadro 3'!$F$9:$F$23,'Quadro 3'!$G$9:$G$23))</f>
        <v/>
      </c>
      <c r="AA49" s="1129" t="str">
        <f>IF($W49="","",LOOKUP($W49,'Quadro 3'!$F$9:$F$23,'Quadro 3'!$D$9:$D$23))</f>
        <v/>
      </c>
      <c r="AB49" s="939" t="str">
        <f>IF($W49="","",LOOKUP($W49,'Quadro 3'!$F$9:$F$23,'Quadro 3'!$E$9:$E$23))</f>
        <v/>
      </c>
      <c r="AC49" s="929" t="str">
        <f t="shared" si="7"/>
        <v/>
      </c>
      <c r="AD49" s="1151" t="str">
        <f t="shared" si="134"/>
        <v/>
      </c>
      <c r="AE49" s="1152"/>
      <c r="AF49" s="1121" t="str">
        <f t="shared" si="8"/>
        <v/>
      </c>
      <c r="AG49" s="1123" t="str">
        <f t="shared" si="135"/>
        <v/>
      </c>
      <c r="AH49" s="931" t="str">
        <f t="shared" si="9"/>
        <v/>
      </c>
      <c r="AI49" s="932" t="str">
        <f t="shared" si="10"/>
        <v/>
      </c>
      <c r="AJ49" s="1153" t="str">
        <f t="shared" si="11"/>
        <v/>
      </c>
      <c r="AK49" s="1154"/>
      <c r="AL49" s="933" t="str">
        <f t="shared" si="136"/>
        <v/>
      </c>
      <c r="AM49" s="1138" t="str">
        <f t="shared" si="12"/>
        <v/>
      </c>
      <c r="AN49" s="1139"/>
      <c r="AO49" s="1140"/>
      <c r="AQ49" s="1126"/>
      <c r="AU49" s="1116">
        <f t="shared" si="187"/>
        <v>0</v>
      </c>
      <c r="AV49" s="350" t="str">
        <f t="shared" si="137"/>
        <v/>
      </c>
      <c r="AW49" s="241">
        <f t="shared" si="13"/>
        <v>0</v>
      </c>
      <c r="AX49" s="241" t="str">
        <f t="shared" si="14"/>
        <v/>
      </c>
      <c r="AY49" s="241" t="str">
        <f t="shared" si="15"/>
        <v/>
      </c>
      <c r="AZ49" s="241" t="str">
        <f t="shared" si="16"/>
        <v/>
      </c>
      <c r="BA49" s="2"/>
      <c r="BB49" s="2"/>
      <c r="BC49" s="2"/>
      <c r="BD49" s="2"/>
      <c r="BE49" s="2"/>
      <c r="BF49" s="2"/>
      <c r="BG49" s="2"/>
      <c r="BH49" s="2"/>
      <c r="BI49" s="350" t="str">
        <f t="shared" si="138"/>
        <v>0</v>
      </c>
      <c r="BJ49" s="350">
        <f t="shared" si="139"/>
        <v>0</v>
      </c>
      <c r="BK49" s="911" t="str">
        <f t="shared" si="140"/>
        <v>NA</v>
      </c>
      <c r="BL49" s="911" t="str">
        <f t="shared" si="141"/>
        <v/>
      </c>
      <c r="BM49" s="911" t="str">
        <f t="shared" si="142"/>
        <v/>
      </c>
      <c r="BN49" s="2"/>
      <c r="BO49" s="2"/>
      <c r="BP49" s="2"/>
      <c r="BQ49" s="2"/>
      <c r="BR49" s="2"/>
      <c r="BS49" s="2"/>
      <c r="BT49" s="2"/>
      <c r="BU49" s="2"/>
      <c r="BV49" s="350" t="str">
        <f t="shared" si="143"/>
        <v/>
      </c>
      <c r="BW49" s="235" t="str">
        <f t="shared" si="144"/>
        <v/>
      </c>
      <c r="BX49" s="235" t="str">
        <f t="shared" si="145"/>
        <v/>
      </c>
      <c r="BY49" s="235" t="str">
        <f t="shared" si="146"/>
        <v/>
      </c>
      <c r="BZ49" s="235" t="str">
        <f t="shared" si="147"/>
        <v/>
      </c>
      <c r="CA49" s="235" t="str">
        <f t="shared" si="148"/>
        <v/>
      </c>
      <c r="CB49" s="235" t="str">
        <f t="shared" si="149"/>
        <v/>
      </c>
      <c r="CC49" s="235" t="str">
        <f t="shared" si="150"/>
        <v/>
      </c>
      <c r="CD49" s="235" t="str">
        <f t="shared" si="151"/>
        <v/>
      </c>
      <c r="CE49" s="235" t="str">
        <f t="shared" si="152"/>
        <v/>
      </c>
      <c r="CF49" s="235" t="str">
        <f t="shared" si="153"/>
        <v/>
      </c>
      <c r="CG49" s="235" t="str">
        <f t="shared" si="154"/>
        <v/>
      </c>
      <c r="CH49" s="235" t="str">
        <f t="shared" si="155"/>
        <v/>
      </c>
      <c r="CI49" s="235" t="str">
        <f t="shared" si="156"/>
        <v/>
      </c>
      <c r="CJ49" s="235" t="str">
        <f t="shared" si="157"/>
        <v/>
      </c>
      <c r="CK49" s="235" t="str">
        <f t="shared" si="158"/>
        <v/>
      </c>
      <c r="CL49" s="235" t="str">
        <f t="shared" si="159"/>
        <v/>
      </c>
      <c r="CM49" s="235" t="str">
        <f t="shared" si="160"/>
        <v/>
      </c>
      <c r="CN49" s="235" t="str">
        <f t="shared" si="161"/>
        <v/>
      </c>
      <c r="CO49" s="235" t="str">
        <f t="shared" si="162"/>
        <v/>
      </c>
      <c r="CP49" s="235" t="str">
        <f t="shared" si="163"/>
        <v/>
      </c>
      <c r="CQ49" s="2">
        <v>20</v>
      </c>
      <c r="CR49" s="207" t="str">
        <f t="shared" si="164"/>
        <v/>
      </c>
      <c r="CS49" s="227" t="str">
        <f t="shared" si="165"/>
        <v/>
      </c>
      <c r="CT49" s="209" t="str">
        <f t="shared" si="188"/>
        <v/>
      </c>
      <c r="CU49" s="227" t="str">
        <f t="shared" si="17"/>
        <v/>
      </c>
      <c r="CV49" s="43">
        <f t="shared" si="189"/>
        <v>0</v>
      </c>
      <c r="CW49" s="209" t="str">
        <f t="shared" si="190"/>
        <v/>
      </c>
      <c r="CX49" s="210" t="str">
        <f t="shared" si="191"/>
        <v/>
      </c>
      <c r="CY49" s="43">
        <f t="shared" si="166"/>
        <v>0</v>
      </c>
      <c r="CZ49" s="44">
        <f t="shared" si="193"/>
        <v>0</v>
      </c>
      <c r="DA49" s="45">
        <f t="shared" si="167"/>
        <v>0</v>
      </c>
      <c r="DB49" s="46">
        <f t="shared" si="18"/>
        <v>0</v>
      </c>
      <c r="DC49" s="47" t="str">
        <f>IF(G49="","",F49)</f>
        <v/>
      </c>
      <c r="DD49" s="52">
        <f t="shared" si="19"/>
        <v>0</v>
      </c>
      <c r="DE49" s="52">
        <f t="shared" si="20"/>
        <v>0</v>
      </c>
      <c r="DF49" s="52">
        <f t="shared" si="21"/>
        <v>0</v>
      </c>
      <c r="DG49" s="215">
        <f>IF(DC49="",0,MAX(DD49:DE49:DF49))</f>
        <v>0</v>
      </c>
      <c r="DH49" s="115" t="str">
        <f>IF(DC49="","",IF(DC49=$G$30,$F$30,IF(DC49=$G$31,$F$31,IF(DC49=$G$32,$F$32,IF(DC49=$G$33,$F$33,IF(DC49=$G$34,$F$34,IF(DC49=$G$35,$F$35,IF(DC49=$G$36,$F$36,""))))))))</f>
        <v/>
      </c>
      <c r="DI49" s="51" t="str">
        <f>IF(DC49="","",IF(DC49=$G$37,$F$37,IF(DC49=$G$38,$F$38,IF(DC49=$G$39,$F$39,IF(DC49=$G$40,$F$40,IF(DC49=$G$41,$F$41,IF(DC49=$G$42,$F$42,IF(DC49=$G$43,$F$43,""))))))))</f>
        <v/>
      </c>
      <c r="DJ49" s="51" t="str">
        <f>IF(DC49="","",IF(DC49=$G$44,$F$44,IF(DC49=$G$45,$F$45,IF(DC49=$G$46,$F$46,IF(DC49=$G$47,$F$47,IF(DC49=$G$48,$F$48,IF(DC49=$G$49,$F$49,"")))))))</f>
        <v/>
      </c>
      <c r="DK49" s="49" t="str">
        <f t="shared" si="169"/>
        <v/>
      </c>
      <c r="DL49" s="52">
        <f t="shared" si="25"/>
        <v>0</v>
      </c>
      <c r="DM49" s="52">
        <f t="shared" si="26"/>
        <v>0</v>
      </c>
      <c r="DN49" s="52">
        <f t="shared" si="27"/>
        <v>0</v>
      </c>
      <c r="DO49" s="215">
        <f>IF(DK49="",0,MAX(DL49:DM49:DN49))</f>
        <v>0</v>
      </c>
      <c r="DP49" s="115" t="str">
        <f t="shared" si="28"/>
        <v/>
      </c>
      <c r="DQ49" s="51" t="str">
        <f t="shared" si="29"/>
        <v/>
      </c>
      <c r="DR49" s="51" t="str">
        <f t="shared" si="30"/>
        <v/>
      </c>
      <c r="DS49" s="49" t="str">
        <f t="shared" si="170"/>
        <v/>
      </c>
      <c r="DT49" s="52">
        <f t="shared" si="31"/>
        <v>0</v>
      </c>
      <c r="DU49" s="52">
        <f t="shared" si="32"/>
        <v>0</v>
      </c>
      <c r="DV49" s="52">
        <f t="shared" si="33"/>
        <v>0</v>
      </c>
      <c r="DW49" s="215">
        <f>IF(DS49="",0,MAX(DT49:DU49:DV49))</f>
        <v>0</v>
      </c>
      <c r="DX49" s="115" t="str">
        <f t="shared" si="34"/>
        <v/>
      </c>
      <c r="DY49" s="51" t="str">
        <f t="shared" si="35"/>
        <v/>
      </c>
      <c r="DZ49" s="51" t="str">
        <f t="shared" si="36"/>
        <v/>
      </c>
      <c r="EA49" s="49" t="str">
        <f t="shared" si="171"/>
        <v/>
      </c>
      <c r="EB49" s="52">
        <f t="shared" si="37"/>
        <v>0</v>
      </c>
      <c r="EC49" s="52">
        <f t="shared" si="38"/>
        <v>0</v>
      </c>
      <c r="ED49" s="52">
        <f t="shared" si="39"/>
        <v>0</v>
      </c>
      <c r="EE49" s="215">
        <f>IF(EA49="",0,MAX(EB49:EC49:ED49))</f>
        <v>0</v>
      </c>
      <c r="EF49" s="115" t="str">
        <f t="shared" si="40"/>
        <v/>
      </c>
      <c r="EG49" s="51" t="str">
        <f t="shared" si="41"/>
        <v/>
      </c>
      <c r="EH49" s="51" t="str">
        <f t="shared" si="42"/>
        <v/>
      </c>
      <c r="EI49" s="49" t="str">
        <f t="shared" si="172"/>
        <v/>
      </c>
      <c r="EJ49" s="52">
        <f t="shared" si="43"/>
        <v>0</v>
      </c>
      <c r="EK49" s="52">
        <f t="shared" si="44"/>
        <v>0</v>
      </c>
      <c r="EL49" s="52">
        <f t="shared" si="45"/>
        <v>0</v>
      </c>
      <c r="EM49" s="215">
        <f>IF(EI49="",0,MAX(EJ49:EK49:EL49))</f>
        <v>0</v>
      </c>
      <c r="EN49" s="115" t="str">
        <f t="shared" si="46"/>
        <v/>
      </c>
      <c r="EO49" s="51" t="str">
        <f t="shared" si="47"/>
        <v/>
      </c>
      <c r="EP49" s="51" t="str">
        <f t="shared" si="48"/>
        <v/>
      </c>
      <c r="EQ49" s="49" t="str">
        <f t="shared" si="173"/>
        <v/>
      </c>
      <c r="ER49" s="52">
        <f t="shared" si="49"/>
        <v>0</v>
      </c>
      <c r="ES49" s="52">
        <f t="shared" si="50"/>
        <v>0</v>
      </c>
      <c r="ET49" s="52">
        <f t="shared" si="51"/>
        <v>0</v>
      </c>
      <c r="EU49" s="215">
        <f>IF(EQ49="",0,MAX(ER49:ES49:ET49))</f>
        <v>0</v>
      </c>
      <c r="EV49" s="115" t="str">
        <f t="shared" si="52"/>
        <v/>
      </c>
      <c r="EW49" s="51" t="str">
        <f t="shared" si="53"/>
        <v/>
      </c>
      <c r="EX49" s="51" t="str">
        <f t="shared" si="54"/>
        <v/>
      </c>
      <c r="EY49" s="49" t="str">
        <f t="shared" si="174"/>
        <v/>
      </c>
      <c r="EZ49" s="52">
        <f t="shared" si="55"/>
        <v>0</v>
      </c>
      <c r="FA49" s="52">
        <f t="shared" si="56"/>
        <v>0</v>
      </c>
      <c r="FB49" s="52">
        <f t="shared" si="57"/>
        <v>0</v>
      </c>
      <c r="FC49" s="215">
        <f>IF(EY49="",0,MAX(EZ49:FA49:FB49))</f>
        <v>0</v>
      </c>
      <c r="FD49" s="115" t="str">
        <f t="shared" si="58"/>
        <v/>
      </c>
      <c r="FE49" s="51" t="str">
        <f t="shared" si="59"/>
        <v/>
      </c>
      <c r="FF49" s="51" t="str">
        <f t="shared" si="60"/>
        <v/>
      </c>
      <c r="FG49" s="49" t="str">
        <f t="shared" si="175"/>
        <v/>
      </c>
      <c r="FH49" s="52">
        <f t="shared" si="61"/>
        <v>0</v>
      </c>
      <c r="FI49" s="52">
        <f t="shared" si="62"/>
        <v>0</v>
      </c>
      <c r="FJ49" s="52">
        <f t="shared" si="63"/>
        <v>0</v>
      </c>
      <c r="FK49" s="215">
        <f>IF(FG49="",0,MAX(FH49:FI49:FJ49))</f>
        <v>0</v>
      </c>
      <c r="FL49" s="115" t="str">
        <f t="shared" si="64"/>
        <v/>
      </c>
      <c r="FM49" s="51" t="str">
        <f t="shared" si="65"/>
        <v/>
      </c>
      <c r="FN49" s="51" t="str">
        <f t="shared" si="66"/>
        <v/>
      </c>
      <c r="FO49" s="49" t="str">
        <f t="shared" si="176"/>
        <v/>
      </c>
      <c r="FP49" s="52">
        <f t="shared" si="67"/>
        <v>0</v>
      </c>
      <c r="FQ49" s="52">
        <f t="shared" si="68"/>
        <v>0</v>
      </c>
      <c r="FR49" s="52">
        <f t="shared" si="69"/>
        <v>0</v>
      </c>
      <c r="FS49" s="215">
        <f>IF(FO49="",0,MAX(FP49:FQ49:FR49))</f>
        <v>0</v>
      </c>
      <c r="FT49" s="115" t="str">
        <f t="shared" si="70"/>
        <v/>
      </c>
      <c r="FU49" s="51" t="str">
        <f t="shared" si="71"/>
        <v/>
      </c>
      <c r="FV49" s="51" t="str">
        <f t="shared" si="72"/>
        <v/>
      </c>
      <c r="FW49" s="49" t="str">
        <f t="shared" si="177"/>
        <v/>
      </c>
      <c r="FX49" s="52">
        <f t="shared" si="73"/>
        <v>0</v>
      </c>
      <c r="FY49" s="52">
        <f t="shared" si="74"/>
        <v>0</v>
      </c>
      <c r="FZ49" s="52">
        <f t="shared" si="75"/>
        <v>0</v>
      </c>
      <c r="GA49" s="215">
        <f>IF(FW49="",0,MAX(FX49:FY49:FZ49))</f>
        <v>0</v>
      </c>
      <c r="GB49" s="115" t="str">
        <f t="shared" si="76"/>
        <v/>
      </c>
      <c r="GC49" s="51" t="str">
        <f t="shared" si="77"/>
        <v/>
      </c>
      <c r="GD49" s="51" t="str">
        <f t="shared" si="78"/>
        <v/>
      </c>
      <c r="GE49" s="49" t="str">
        <f t="shared" si="178"/>
        <v/>
      </c>
      <c r="GF49" s="52">
        <f t="shared" si="79"/>
        <v>0</v>
      </c>
      <c r="GG49" s="52">
        <f t="shared" si="80"/>
        <v>0</v>
      </c>
      <c r="GH49" s="52">
        <f t="shared" si="81"/>
        <v>0</v>
      </c>
      <c r="GI49" s="215">
        <f>IF(GE49="",0,MAX(GF49:GG49:GH49))</f>
        <v>0</v>
      </c>
      <c r="GJ49" s="115" t="str">
        <f t="shared" si="82"/>
        <v/>
      </c>
      <c r="GK49" s="51" t="str">
        <f t="shared" si="83"/>
        <v/>
      </c>
      <c r="GL49" s="51" t="str">
        <f t="shared" si="84"/>
        <v/>
      </c>
      <c r="GM49" s="49" t="str">
        <f t="shared" si="179"/>
        <v/>
      </c>
      <c r="GN49" s="52">
        <f t="shared" si="85"/>
        <v>0</v>
      </c>
      <c r="GO49" s="52">
        <f t="shared" si="86"/>
        <v>0</v>
      </c>
      <c r="GP49" s="52">
        <f t="shared" si="87"/>
        <v>0</v>
      </c>
      <c r="GQ49" s="215">
        <f>IF(GM49="",0,MAX(GN49:GO49:GP49))</f>
        <v>0</v>
      </c>
      <c r="GR49" s="115" t="str">
        <f t="shared" si="88"/>
        <v/>
      </c>
      <c r="GS49" s="51" t="str">
        <f t="shared" si="89"/>
        <v/>
      </c>
      <c r="GT49" s="51" t="str">
        <f t="shared" si="90"/>
        <v/>
      </c>
      <c r="GU49" s="49" t="str">
        <f t="shared" si="180"/>
        <v/>
      </c>
      <c r="GV49" s="52">
        <f t="shared" si="91"/>
        <v>0</v>
      </c>
      <c r="GW49" s="52">
        <f t="shared" si="92"/>
        <v>0</v>
      </c>
      <c r="GX49" s="52">
        <f t="shared" si="93"/>
        <v>0</v>
      </c>
      <c r="GY49" s="215">
        <f>IF(GU49="",0,MAX(GV49:GW49:GX49))</f>
        <v>0</v>
      </c>
      <c r="GZ49" s="115" t="str">
        <f t="shared" si="94"/>
        <v/>
      </c>
      <c r="HA49" s="51" t="str">
        <f t="shared" si="95"/>
        <v/>
      </c>
      <c r="HB49" s="51" t="str">
        <f t="shared" si="96"/>
        <v/>
      </c>
      <c r="HC49" s="49" t="str">
        <f t="shared" si="181"/>
        <v/>
      </c>
      <c r="HD49" s="52">
        <f t="shared" si="97"/>
        <v>0</v>
      </c>
      <c r="HE49" s="52">
        <f t="shared" si="98"/>
        <v>0</v>
      </c>
      <c r="HF49" s="52">
        <f t="shared" si="99"/>
        <v>0</v>
      </c>
      <c r="HG49" s="215">
        <f>IF(HC49="",0,MAX(HD49:HE49:HF49))</f>
        <v>0</v>
      </c>
      <c r="HH49" s="115" t="str">
        <f t="shared" si="100"/>
        <v/>
      </c>
      <c r="HI49" s="51" t="str">
        <f t="shared" si="101"/>
        <v/>
      </c>
      <c r="HJ49" s="51" t="str">
        <f t="shared" si="102"/>
        <v/>
      </c>
      <c r="HK49" s="49" t="str">
        <f t="shared" si="182"/>
        <v/>
      </c>
      <c r="HL49" s="52">
        <f t="shared" si="103"/>
        <v>0</v>
      </c>
      <c r="HM49" s="52">
        <f t="shared" si="104"/>
        <v>0</v>
      </c>
      <c r="HN49" s="52">
        <f t="shared" si="105"/>
        <v>0</v>
      </c>
      <c r="HO49" s="215">
        <f>IF(HK49="",0,MAX(HL49:HM49:HN49))</f>
        <v>0</v>
      </c>
      <c r="HP49" s="115" t="str">
        <f t="shared" si="106"/>
        <v/>
      </c>
      <c r="HQ49" s="51" t="str">
        <f t="shared" si="107"/>
        <v/>
      </c>
      <c r="HR49" s="51" t="str">
        <f t="shared" si="108"/>
        <v/>
      </c>
      <c r="HS49" s="49" t="str">
        <f t="shared" si="183"/>
        <v/>
      </c>
      <c r="HT49" s="52">
        <f t="shared" si="109"/>
        <v>0</v>
      </c>
      <c r="HU49" s="52">
        <f t="shared" si="110"/>
        <v>0</v>
      </c>
      <c r="HV49" s="52">
        <f t="shared" si="111"/>
        <v>0</v>
      </c>
      <c r="HW49" s="215">
        <f>IF(HS49="",0,MAX(HT49:HU49:HV49))</f>
        <v>0</v>
      </c>
      <c r="HX49" s="115" t="str">
        <f t="shared" si="112"/>
        <v/>
      </c>
      <c r="HY49" s="51" t="str">
        <f t="shared" si="113"/>
        <v/>
      </c>
      <c r="HZ49" s="51" t="str">
        <f t="shared" si="114"/>
        <v/>
      </c>
      <c r="IA49" s="49" t="str">
        <f t="shared" si="184"/>
        <v/>
      </c>
      <c r="IB49" s="52">
        <f t="shared" si="115"/>
        <v>0</v>
      </c>
      <c r="IC49" s="52">
        <f t="shared" si="116"/>
        <v>0</v>
      </c>
      <c r="ID49" s="52">
        <f t="shared" si="117"/>
        <v>0</v>
      </c>
      <c r="IE49" s="215">
        <f>IF(IA49="",0,MAX(IB49:IC49:ID49))</f>
        <v>0</v>
      </c>
      <c r="IF49" s="115" t="str">
        <f t="shared" si="118"/>
        <v/>
      </c>
      <c r="IG49" s="51" t="str">
        <f t="shared" si="119"/>
        <v/>
      </c>
      <c r="IH49" s="51" t="str">
        <f t="shared" si="120"/>
        <v/>
      </c>
      <c r="II49" s="49" t="str">
        <f t="shared" si="185"/>
        <v/>
      </c>
      <c r="IJ49" s="52">
        <f t="shared" si="121"/>
        <v>0</v>
      </c>
      <c r="IK49" s="52">
        <f t="shared" si="122"/>
        <v>0</v>
      </c>
      <c r="IL49" s="52">
        <f t="shared" si="123"/>
        <v>0</v>
      </c>
      <c r="IM49" s="215">
        <f>IF(II49="",0,MAX(IJ49:IK49:IL49))</f>
        <v>0</v>
      </c>
      <c r="IN49" s="115" t="str">
        <f t="shared" si="124"/>
        <v/>
      </c>
      <c r="IO49" s="51" t="str">
        <f t="shared" si="125"/>
        <v/>
      </c>
      <c r="IP49" s="51" t="str">
        <f t="shared" si="126"/>
        <v/>
      </c>
      <c r="IQ49" s="49" t="str">
        <f t="shared" si="186"/>
        <v/>
      </c>
      <c r="IR49" s="52">
        <f t="shared" si="127"/>
        <v>0</v>
      </c>
      <c r="IS49" s="52">
        <f t="shared" si="128"/>
        <v>0</v>
      </c>
      <c r="IT49" s="52">
        <f t="shared" si="129"/>
        <v>0</v>
      </c>
      <c r="IU49" s="215">
        <f>IF(IQ49="",0,MAX(IR49:IS49:IT49))</f>
        <v>0</v>
      </c>
    </row>
    <row r="50" spans="1:255" ht="14.25" customHeight="1" thickTop="1" thickBot="1" x14ac:dyDescent="0.35">
      <c r="D50" s="22"/>
      <c r="E50" s="53"/>
      <c r="F50" s="54"/>
      <c r="G50" s="54"/>
      <c r="H50" s="55"/>
      <c r="I50" s="56"/>
      <c r="J50" s="56"/>
      <c r="K50" s="57"/>
      <c r="L50" s="57"/>
      <c r="M50" s="57"/>
      <c r="N50" s="57"/>
      <c r="O50" s="57"/>
      <c r="P50" s="58"/>
      <c r="Q50" s="59"/>
      <c r="R50" s="58"/>
      <c r="S50" s="60"/>
      <c r="T50" s="61"/>
      <c r="U50" s="914" t="str">
        <f>IF($BI$29="","","Atenção: o diâmetro do troço assinalado a vermelho tem de ser superior ou igual ao do troço a jusante.")</f>
        <v/>
      </c>
      <c r="V50" s="61"/>
      <c r="W50" s="763"/>
      <c r="X50" s="763"/>
      <c r="Y50" s="763"/>
      <c r="Z50" s="764"/>
      <c r="AA50" s="321"/>
      <c r="AB50" s="322"/>
      <c r="AC50" s="323"/>
      <c r="AD50" s="324"/>
      <c r="AE50" s="324"/>
      <c r="AF50" s="324"/>
      <c r="AG50" s="324"/>
      <c r="AH50" s="320"/>
      <c r="AI50" s="61"/>
      <c r="AJ50" s="61"/>
      <c r="AK50" s="62"/>
      <c r="AL50" s="63"/>
      <c r="AM50" s="64"/>
      <c r="AN50" s="65"/>
      <c r="AT50" s="16"/>
      <c r="CR50" s="228" t="s">
        <v>235</v>
      </c>
      <c r="CS50" s="229">
        <f>SUM(CS30:CS49)</f>
        <v>0</v>
      </c>
      <c r="CT50" s="228" t="s">
        <v>235</v>
      </c>
      <c r="CU50" s="190">
        <f>SUM(CU30:CU49)</f>
        <v>0</v>
      </c>
      <c r="CV50" s="211">
        <f>MAX(CV30:CV49)</f>
        <v>0</v>
      </c>
      <c r="CW50" s="189"/>
      <c r="CX50" s="190">
        <f>SUM(CX30:CX49)</f>
        <v>0</v>
      </c>
      <c r="CY50" s="211">
        <f>MAX(CY30:CY49)</f>
        <v>0</v>
      </c>
    </row>
    <row r="51" spans="1:255" s="67" customFormat="1" ht="17.25" customHeight="1" thickTop="1" thickBot="1" x14ac:dyDescent="0.45">
      <c r="D51" s="368"/>
      <c r="E51" s="66"/>
      <c r="F51" s="168"/>
      <c r="K51" s="68"/>
      <c r="R51" s="165"/>
      <c r="S51" s="21"/>
      <c r="T51" s="69"/>
      <c r="U51" s="1188" t="str">
        <f>IF(SUM(D30:D49)&lt;&gt;0,"Consumo parcial de Tubos de Aço - Instalação Colectiva","")</f>
        <v/>
      </c>
      <c r="V51" s="762"/>
      <c r="W51" s="315" t="str">
        <f t="shared" ref="W51:W56" si="194">IF(OR($AX54="",$AX54=0),"",$AX54)</f>
        <v/>
      </c>
      <c r="X51" s="765"/>
      <c r="Y51" s="765"/>
      <c r="Z51" s="511" t="str">
        <f t="shared" ref="Z51:Z56" si="195">IF(OR($AX54="",$AX54=0),"",$AY54)</f>
        <v/>
      </c>
      <c r="AA51" s="1135" t="str">
        <f t="shared" ref="AA51:AA56" si="196">IF(OR($AX54="",$AX54=0),"","- Tubo Aço ("&amp;$AW54&amp;")")</f>
        <v/>
      </c>
      <c r="AB51" s="1136"/>
      <c r="AC51" s="1136"/>
      <c r="AH51" s="73"/>
      <c r="AI51" s="304"/>
      <c r="AJ51" s="71"/>
      <c r="AK51" s="72"/>
      <c r="AL51" s="70"/>
      <c r="AM51" s="73"/>
      <c r="AN51" s="74"/>
      <c r="AO51" s="15"/>
      <c r="AP51" s="15"/>
      <c r="AQ51" s="15"/>
      <c r="AR51" s="15"/>
      <c r="CW51" s="212" t="s">
        <v>229</v>
      </c>
      <c r="CX51" s="212"/>
      <c r="CY51" s="212"/>
      <c r="CZ51" s="212"/>
      <c r="DA51" s="212"/>
      <c r="DB51" s="212"/>
      <c r="DC51" s="213"/>
      <c r="DD51" s="213"/>
      <c r="DE51" s="213"/>
      <c r="DF51" s="213"/>
      <c r="DG51" s="213"/>
      <c r="DH51" s="213"/>
      <c r="DI51" s="213"/>
    </row>
    <row r="52" spans="1:255" ht="18" customHeight="1" thickTop="1" thickBot="1" x14ac:dyDescent="0.35">
      <c r="D52" s="22"/>
      <c r="E52" s="53"/>
      <c r="F52" s="168"/>
      <c r="H52" s="75"/>
      <c r="I52" s="75"/>
      <c r="K52" s="76"/>
      <c r="O52" s="77"/>
      <c r="S52" s="761"/>
      <c r="T52" s="760"/>
      <c r="U52" s="1189" t="e">
        <f>IF(AND(SUM(#REF!)&lt;&gt;"",SUM(#REF!)&lt;&gt;""),"Indique o nº total de fogos correspondentes à 1ª Instalação Individual.",0)</f>
        <v>#REF!</v>
      </c>
      <c r="V52" s="570"/>
      <c r="W52" s="315" t="str">
        <f t="shared" si="194"/>
        <v/>
      </c>
      <c r="X52" s="761"/>
      <c r="Y52" s="761"/>
      <c r="Z52" s="511" t="str">
        <f t="shared" si="195"/>
        <v/>
      </c>
      <c r="AA52" s="1135" t="str">
        <f t="shared" si="196"/>
        <v/>
      </c>
      <c r="AB52" s="1136"/>
      <c r="AC52" s="1136"/>
      <c r="AG52" s="67"/>
      <c r="AH52" s="306"/>
      <c r="AI52" s="305"/>
      <c r="AJ52" s="61"/>
      <c r="AK52" s="62"/>
      <c r="AL52" s="63"/>
      <c r="AM52" s="64"/>
      <c r="AN52" s="65"/>
      <c r="AW52" s="269" t="s">
        <v>243</v>
      </c>
      <c r="AX52" s="158" t="s">
        <v>244</v>
      </c>
      <c r="AY52" s="183" t="s">
        <v>41</v>
      </c>
      <c r="AZ52" s="270" t="s">
        <v>245</v>
      </c>
      <c r="BA52" s="271"/>
      <c r="BB52" s="183"/>
      <c r="BC52" s="269" t="s">
        <v>243</v>
      </c>
      <c r="BD52" s="269" t="s">
        <v>246</v>
      </c>
      <c r="BE52" s="158" t="s">
        <v>244</v>
      </c>
      <c r="BF52" s="67"/>
      <c r="BG52" s="272" t="s">
        <v>247</v>
      </c>
      <c r="BH52" s="273"/>
      <c r="BI52" s="273"/>
      <c r="BJ52" s="273"/>
      <c r="BK52" s="273"/>
      <c r="BL52" s="273"/>
      <c r="BM52" s="273"/>
      <c r="BN52" s="67"/>
      <c r="BO52" s="67"/>
      <c r="CW52" s="201" t="s">
        <v>227</v>
      </c>
      <c r="CX52" s="202"/>
      <c r="CY52" s="116"/>
      <c r="CZ52" s="117" t="s">
        <v>138</v>
      </c>
      <c r="DA52" s="118" t="s">
        <v>136</v>
      </c>
      <c r="DB52" s="119" t="s">
        <v>135</v>
      </c>
      <c r="DC52" s="118" t="s">
        <v>134</v>
      </c>
      <c r="DD52" s="114"/>
      <c r="DE52" s="114"/>
      <c r="DF52" s="114"/>
      <c r="DG52" s="120" t="s">
        <v>135</v>
      </c>
      <c r="DH52" s="121"/>
      <c r="DI52" s="114"/>
      <c r="DJ52" s="79"/>
      <c r="DK52" s="119" t="s">
        <v>134</v>
      </c>
      <c r="DL52" s="114"/>
      <c r="DM52" s="114"/>
      <c r="DN52" s="114"/>
      <c r="DO52" s="120" t="s">
        <v>135</v>
      </c>
      <c r="DP52" s="121"/>
      <c r="DQ52" s="114"/>
      <c r="DR52" s="79"/>
      <c r="DS52" s="119" t="s">
        <v>134</v>
      </c>
      <c r="DT52" s="114"/>
      <c r="DU52" s="114"/>
      <c r="DV52" s="114"/>
      <c r="DW52" s="120" t="s">
        <v>135</v>
      </c>
      <c r="DX52" s="121"/>
      <c r="DY52" s="114"/>
      <c r="DZ52" s="79"/>
      <c r="EA52" s="119" t="s">
        <v>134</v>
      </c>
      <c r="EB52" s="114"/>
      <c r="EC52" s="114"/>
      <c r="ED52" s="114"/>
      <c r="EE52" s="120" t="s">
        <v>135</v>
      </c>
      <c r="EF52" s="121"/>
      <c r="EG52" s="114"/>
      <c r="EH52" s="79"/>
      <c r="EI52" s="119" t="s">
        <v>134</v>
      </c>
      <c r="EJ52" s="114"/>
      <c r="EK52" s="114"/>
      <c r="EL52" s="114"/>
      <c r="EM52" s="120" t="s">
        <v>135</v>
      </c>
      <c r="EN52" s="121"/>
      <c r="EO52" s="114"/>
      <c r="EP52" s="79"/>
      <c r="EQ52" s="119" t="s">
        <v>134</v>
      </c>
      <c r="ER52" s="114"/>
      <c r="ES52" s="114"/>
      <c r="ET52" s="114"/>
      <c r="EU52" s="120" t="s">
        <v>135</v>
      </c>
      <c r="EV52" s="121"/>
      <c r="EW52" s="114"/>
      <c r="EX52" s="79"/>
      <c r="EY52" s="119" t="s">
        <v>134</v>
      </c>
      <c r="EZ52" s="114"/>
      <c r="FA52" s="114"/>
      <c r="FB52" s="114"/>
      <c r="FC52" s="120" t="s">
        <v>135</v>
      </c>
      <c r="FD52" s="121"/>
      <c r="FE52" s="114"/>
      <c r="FF52" s="79"/>
      <c r="FG52" s="119" t="s">
        <v>134</v>
      </c>
      <c r="FH52" s="114"/>
      <c r="FI52" s="114"/>
      <c r="FJ52" s="114"/>
      <c r="FK52" s="120" t="s">
        <v>135</v>
      </c>
      <c r="FL52" s="121"/>
      <c r="FM52" s="114"/>
      <c r="FN52" s="79"/>
      <c r="FO52" s="119" t="s">
        <v>134</v>
      </c>
      <c r="FP52" s="114"/>
      <c r="FQ52" s="114"/>
      <c r="FR52" s="114"/>
      <c r="FS52" s="120" t="s">
        <v>135</v>
      </c>
      <c r="FT52" s="121"/>
      <c r="FU52" s="114"/>
      <c r="FV52" s="79"/>
      <c r="FW52" s="119" t="s">
        <v>134</v>
      </c>
      <c r="FX52" s="114"/>
      <c r="FY52" s="114"/>
      <c r="FZ52" s="114"/>
      <c r="GA52" s="120" t="s">
        <v>135</v>
      </c>
      <c r="GB52" s="121"/>
      <c r="GC52" s="114"/>
      <c r="GD52" s="79"/>
      <c r="GE52" s="119" t="s">
        <v>134</v>
      </c>
      <c r="GF52" s="114"/>
      <c r="GG52" s="114"/>
      <c r="GH52" s="114"/>
      <c r="GI52" s="120" t="s">
        <v>135</v>
      </c>
      <c r="GJ52" s="121"/>
      <c r="GK52" s="114"/>
      <c r="GL52" s="79"/>
      <c r="GM52" s="119" t="s">
        <v>134</v>
      </c>
      <c r="GN52" s="114"/>
      <c r="GO52" s="114"/>
      <c r="GP52" s="114"/>
      <c r="GQ52" s="120" t="s">
        <v>135</v>
      </c>
      <c r="GR52" s="121"/>
      <c r="GS52" s="114"/>
      <c r="GT52" s="79"/>
      <c r="GU52" s="119" t="s">
        <v>134</v>
      </c>
      <c r="GV52" s="114"/>
      <c r="GW52" s="114"/>
      <c r="GX52" s="114"/>
      <c r="GY52" s="120" t="s">
        <v>135</v>
      </c>
      <c r="GZ52" s="121"/>
      <c r="HA52" s="114"/>
      <c r="HB52" s="79"/>
      <c r="HC52" s="119" t="s">
        <v>134</v>
      </c>
      <c r="HD52" s="114"/>
      <c r="HE52" s="114"/>
      <c r="HF52" s="114"/>
      <c r="HG52" s="120" t="s">
        <v>135</v>
      </c>
      <c r="HH52" s="121"/>
      <c r="HI52" s="114"/>
      <c r="HJ52" s="79"/>
      <c r="HK52" s="119" t="s">
        <v>134</v>
      </c>
      <c r="HL52" s="114"/>
      <c r="HM52" s="114"/>
      <c r="HN52" s="114"/>
      <c r="HO52" s="120" t="s">
        <v>135</v>
      </c>
      <c r="HP52" s="121"/>
      <c r="HQ52" s="114"/>
      <c r="HR52" s="79"/>
      <c r="HS52" s="119" t="s">
        <v>134</v>
      </c>
      <c r="HT52" s="114"/>
      <c r="HU52" s="114"/>
      <c r="HV52" s="114"/>
      <c r="HW52" s="120" t="s">
        <v>135</v>
      </c>
      <c r="HX52" s="121"/>
      <c r="HY52" s="114"/>
      <c r="HZ52" s="79"/>
      <c r="IA52" s="119" t="s">
        <v>134</v>
      </c>
      <c r="IB52" s="114"/>
      <c r="IC52" s="114"/>
      <c r="ID52" s="114"/>
      <c r="IE52" s="120" t="s">
        <v>135</v>
      </c>
      <c r="IF52" s="121"/>
      <c r="IG52" s="114"/>
      <c r="IH52" s="79"/>
      <c r="II52" s="119" t="s">
        <v>134</v>
      </c>
      <c r="IJ52" s="114"/>
      <c r="IK52" s="114"/>
      <c r="IL52" s="114"/>
      <c r="IM52" s="120" t="s">
        <v>135</v>
      </c>
      <c r="IN52" s="121"/>
      <c r="IO52" s="114"/>
      <c r="IP52" s="79"/>
      <c r="IQ52" s="119" t="s">
        <v>134</v>
      </c>
      <c r="IR52" s="114"/>
      <c r="IS52" s="114"/>
      <c r="IT52" s="114"/>
      <c r="IU52" s="120" t="s">
        <v>135</v>
      </c>
    </row>
    <row r="53" spans="1:255" ht="17.25" customHeight="1" thickTop="1" thickBot="1" x14ac:dyDescent="0.35">
      <c r="D53" s="22"/>
      <c r="E53" s="22"/>
      <c r="F53" s="168"/>
      <c r="S53" s="641"/>
      <c r="T53" s="614"/>
      <c r="U53" s="1189" t="e">
        <f>IF(AND(SUM(#REF!)&lt;&gt;"",SUM(#REF!)&lt;&gt;""),"Indique o nº total de fogos correspondentes à 1ª Instalação Individual.",0)</f>
        <v>#REF!</v>
      </c>
      <c r="V53" s="614"/>
      <c r="W53" s="315" t="str">
        <f t="shared" si="194"/>
        <v/>
      </c>
      <c r="X53" s="615"/>
      <c r="Y53" s="615"/>
      <c r="Z53" s="511" t="str">
        <f t="shared" si="195"/>
        <v/>
      </c>
      <c r="AA53" s="1135" t="str">
        <f t="shared" si="196"/>
        <v/>
      </c>
      <c r="AB53" s="1136"/>
      <c r="AC53" s="1136"/>
      <c r="AG53" s="67"/>
      <c r="AN53" s="78"/>
      <c r="AV53" s="900">
        <f>MAX(AV56:AV75)</f>
        <v>0</v>
      </c>
      <c r="BF53" s="67"/>
      <c r="BG53" s="277" t="s">
        <v>248</v>
      </c>
      <c r="BH53" s="277" t="s">
        <v>249</v>
      </c>
      <c r="BI53" s="277" t="s">
        <v>250</v>
      </c>
      <c r="BJ53" s="277" t="s">
        <v>251</v>
      </c>
      <c r="BK53" s="277" t="s">
        <v>252</v>
      </c>
      <c r="BL53" s="277" t="s">
        <v>253</v>
      </c>
      <c r="BM53" s="278" t="s">
        <v>243</v>
      </c>
      <c r="BO53" s="67"/>
      <c r="CW53" s="204" t="s">
        <v>230</v>
      </c>
      <c r="CX53" s="205"/>
      <c r="CY53" s="206">
        <f>MAX(CY54:CY73)</f>
        <v>0</v>
      </c>
      <c r="CZ53" s="37"/>
      <c r="DA53" s="24"/>
      <c r="DB53" s="88" t="s">
        <v>137</v>
      </c>
      <c r="DC53" s="89"/>
      <c r="DD53" s="24"/>
      <c r="DE53" s="24"/>
      <c r="DF53" s="24"/>
      <c r="DG53" s="90" t="s">
        <v>137</v>
      </c>
      <c r="DH53" s="40"/>
      <c r="DI53" s="24"/>
      <c r="DJ53" s="24"/>
      <c r="DK53" s="24"/>
      <c r="DL53" s="24"/>
      <c r="DM53" s="24"/>
      <c r="DN53" s="24"/>
      <c r="DO53" s="90" t="s">
        <v>137</v>
      </c>
      <c r="DP53" s="40"/>
      <c r="DQ53" s="24"/>
      <c r="DR53" s="24"/>
      <c r="DS53" s="24"/>
      <c r="DT53" s="24"/>
      <c r="DU53" s="24"/>
      <c r="DV53" s="24"/>
      <c r="DW53" s="90" t="s">
        <v>137</v>
      </c>
      <c r="DX53" s="40"/>
      <c r="DY53" s="24"/>
      <c r="DZ53" s="24"/>
      <c r="EA53" s="24"/>
      <c r="EB53" s="24"/>
      <c r="EC53" s="24"/>
      <c r="ED53" s="24"/>
      <c r="EE53" s="90" t="s">
        <v>137</v>
      </c>
      <c r="EF53" s="40"/>
      <c r="EG53" s="24"/>
      <c r="EH53" s="24"/>
      <c r="EI53" s="24"/>
      <c r="EJ53" s="24"/>
      <c r="EK53" s="24"/>
      <c r="EL53" s="24"/>
      <c r="EM53" s="90" t="s">
        <v>137</v>
      </c>
      <c r="EN53" s="40"/>
      <c r="EO53" s="24"/>
      <c r="EP53" s="24"/>
      <c r="EQ53" s="24"/>
      <c r="ER53" s="24"/>
      <c r="ES53" s="24"/>
      <c r="ET53" s="24"/>
      <c r="EU53" s="90" t="s">
        <v>137</v>
      </c>
      <c r="EV53" s="40"/>
      <c r="EW53" s="24"/>
      <c r="EX53" s="24"/>
      <c r="EY53" s="24"/>
      <c r="EZ53" s="24"/>
      <c r="FA53" s="24"/>
      <c r="FB53" s="24"/>
      <c r="FC53" s="90" t="s">
        <v>137</v>
      </c>
      <c r="FD53" s="40"/>
      <c r="FE53" s="24"/>
      <c r="FF53" s="24"/>
      <c r="FG53" s="24"/>
      <c r="FH53" s="24"/>
      <c r="FI53" s="24"/>
      <c r="FJ53" s="24"/>
      <c r="FK53" s="90" t="s">
        <v>137</v>
      </c>
      <c r="FL53" s="40"/>
      <c r="FM53" s="24"/>
      <c r="FN53" s="24"/>
      <c r="FO53" s="24"/>
      <c r="FP53" s="24"/>
      <c r="FQ53" s="24"/>
      <c r="FR53" s="24"/>
      <c r="FS53" s="90" t="s">
        <v>137</v>
      </c>
      <c r="FT53" s="40"/>
      <c r="FU53" s="24"/>
      <c r="FV53" s="24"/>
      <c r="FW53" s="24"/>
      <c r="FX53" s="24"/>
      <c r="FY53" s="24"/>
      <c r="FZ53" s="24"/>
      <c r="GA53" s="90" t="s">
        <v>137</v>
      </c>
      <c r="GB53" s="40"/>
      <c r="GC53" s="24"/>
      <c r="GD53" s="24"/>
      <c r="GE53" s="24"/>
      <c r="GF53" s="24"/>
      <c r="GG53" s="24"/>
      <c r="GH53" s="24"/>
      <c r="GI53" s="90" t="s">
        <v>137</v>
      </c>
      <c r="GJ53" s="40"/>
      <c r="GK53" s="24"/>
      <c r="GL53" s="24"/>
      <c r="GM53" s="24"/>
      <c r="GN53" s="24"/>
      <c r="GO53" s="24"/>
      <c r="GP53" s="24"/>
      <c r="GQ53" s="90" t="s">
        <v>137</v>
      </c>
      <c r="GR53" s="40"/>
      <c r="GS53" s="24"/>
      <c r="GT53" s="24"/>
      <c r="GU53" s="24"/>
      <c r="GV53" s="24"/>
      <c r="GW53" s="24"/>
      <c r="GX53" s="24"/>
      <c r="GY53" s="90" t="s">
        <v>137</v>
      </c>
      <c r="GZ53" s="40"/>
      <c r="HA53" s="24"/>
      <c r="HB53" s="24"/>
      <c r="HC53" s="24"/>
      <c r="HD53" s="24"/>
      <c r="HE53" s="24"/>
      <c r="HF53" s="24"/>
      <c r="HG53" s="90" t="s">
        <v>137</v>
      </c>
      <c r="HH53" s="40"/>
      <c r="HI53" s="24"/>
      <c r="HJ53" s="24"/>
      <c r="HK53" s="24"/>
      <c r="HL53" s="24"/>
      <c r="HM53" s="24"/>
      <c r="HN53" s="24"/>
      <c r="HO53" s="90" t="s">
        <v>137</v>
      </c>
      <c r="HP53" s="40"/>
      <c r="HQ53" s="24"/>
      <c r="HR53" s="24"/>
      <c r="HS53" s="24"/>
      <c r="HT53" s="24"/>
      <c r="HU53" s="24"/>
      <c r="HV53" s="24"/>
      <c r="HW53" s="90" t="s">
        <v>137</v>
      </c>
      <c r="HX53" s="40"/>
      <c r="HY53" s="24"/>
      <c r="HZ53" s="24"/>
      <c r="IA53" s="24"/>
      <c r="IB53" s="24"/>
      <c r="IC53" s="24"/>
      <c r="ID53" s="24"/>
      <c r="IE53" s="90" t="s">
        <v>137</v>
      </c>
      <c r="IF53" s="40"/>
      <c r="IG53" s="24"/>
      <c r="IH53" s="24"/>
      <c r="II53" s="24"/>
      <c r="IJ53" s="24"/>
      <c r="IK53" s="24"/>
      <c r="IL53" s="24"/>
      <c r="IM53" s="90" t="s">
        <v>137</v>
      </c>
      <c r="IN53" s="40"/>
      <c r="IO53" s="24"/>
      <c r="IP53" s="24"/>
      <c r="IQ53" s="24"/>
      <c r="IR53" s="24"/>
      <c r="IS53" s="24"/>
      <c r="IT53" s="24"/>
      <c r="IU53" s="90" t="s">
        <v>137</v>
      </c>
    </row>
    <row r="54" spans="1:255" ht="15.9" thickTop="1" thickBot="1" x14ac:dyDescent="0.4">
      <c r="D54" s="22"/>
      <c r="F54" s="168"/>
      <c r="R54" s="169"/>
      <c r="S54" s="64"/>
      <c r="U54" s="1189" t="e">
        <f>IF(AND(SUM(#REF!)&lt;&gt;"",SUM(#REF!)&lt;&gt;""),"Indique o nº total de fogos correspondentes à 1ª Instalação Individual.",0)</f>
        <v>#REF!</v>
      </c>
      <c r="W54" s="315" t="str">
        <f t="shared" si="194"/>
        <v/>
      </c>
      <c r="Z54" s="511" t="str">
        <f t="shared" si="195"/>
        <v/>
      </c>
      <c r="AA54" s="1135" t="str">
        <f t="shared" si="196"/>
        <v/>
      </c>
      <c r="AB54" s="1136"/>
      <c r="AC54" s="1136"/>
      <c r="AG54" s="67"/>
      <c r="AV54" s="343" t="s">
        <v>488</v>
      </c>
      <c r="AW54" s="274" t="str">
        <f t="shared" ref="AW54:AW59" si="197">IF(AY54="","",LOOKUP(AY54,$BD$54:$BD$59,$BC$54:$BC$59))</f>
        <v/>
      </c>
      <c r="AX54" s="274" t="str">
        <f t="shared" ref="AX54:AX59" si="198">IF(AY54="","",LOOKUP(AY54,$BB$54:$BB$59,$BE$54:$BE$59))</f>
        <v/>
      </c>
      <c r="AY54" s="275" t="str">
        <f t="shared" ref="AY54:AY59" si="199">IF(AND(AZ54="",BA54=""),"",MIN(AZ54:BA54))</f>
        <v/>
      </c>
      <c r="AZ54" s="276" t="str">
        <f>IF(OR(MIN($BB54:$BB59)="",MIN($BB54:$BB59)=0),"",MIN($BB54:$BB59))</f>
        <v/>
      </c>
      <c r="BA54" s="276" t="str">
        <f>IF(OR(MIN($BB54:$BB59)="",MIN($BB54:$BB59)=0),"",MIN($BB54:$BB59))</f>
        <v/>
      </c>
      <c r="BB54" s="275" t="str">
        <f t="shared" ref="BB54:BB59" si="200">IF(OR($BE54="",$BE54=0),"",$BD54)</f>
        <v/>
      </c>
      <c r="BC54" s="279" t="s">
        <v>248</v>
      </c>
      <c r="BD54" s="275">
        <v>0.5</v>
      </c>
      <c r="BE54" s="280">
        <f>BG55</f>
        <v>0</v>
      </c>
      <c r="BF54" s="343" t="s">
        <v>273</v>
      </c>
      <c r="BG54" s="281">
        <v>16.100000000000001</v>
      </c>
      <c r="BH54" s="281">
        <v>21.7</v>
      </c>
      <c r="BI54" s="281">
        <v>27.3</v>
      </c>
      <c r="BJ54" s="281">
        <v>36</v>
      </c>
      <c r="BK54" s="281">
        <v>41.9</v>
      </c>
      <c r="BL54" s="281">
        <v>53.1</v>
      </c>
      <c r="BM54" s="278" t="s">
        <v>254</v>
      </c>
      <c r="BO54" s="67"/>
      <c r="CW54" s="207" t="str">
        <f>IF(OR(CY54="",CY54=0),"",IF(CY54=$CY$53,"Crítico",""))</f>
        <v/>
      </c>
      <c r="CX54" s="230" t="str">
        <f t="shared" ref="CX54:CX73" si="201">IF(CW54="","",1)</f>
        <v/>
      </c>
      <c r="CY54" s="43">
        <f>DB54+DG54+DO54+DW54+EE54+EM54+EU54+FC54+FK54+FS54+GA54+GI54+GQ54+GY54+HG54+HO54+HW54+IE54+IM54+IU54</f>
        <v>0</v>
      </c>
      <c r="CZ54" s="214">
        <f>F30</f>
        <v>0</v>
      </c>
      <c r="DA54" s="45">
        <f>G30</f>
        <v>0</v>
      </c>
      <c r="DB54" s="46">
        <f t="shared" ref="DB54:DB73" si="202">IF(OR($K30="",G30=""),0,$K30)</f>
        <v>0</v>
      </c>
      <c r="DC54" s="47" t="str">
        <f>IF(G30="","",F30)</f>
        <v/>
      </c>
      <c r="DD54" s="123">
        <f t="shared" ref="DD54:DD73" si="203">IF(OR(DC54=0,DC54=""),0,IF(DC54=$G$30,$K$30,IF(DC54=$G$31,$K$31,IF(DC54=$G$32,$K$32,IF(DC54=$G$33,$K$33,IF(DC54=$G$34,$K$34,IF(DC54=$G$35,$K$35,IF(DC54=$G$36,$K$36,""))))))))</f>
        <v>0</v>
      </c>
      <c r="DE54" s="123">
        <f t="shared" ref="DE54:DE73" si="204">IF(OR(DC54=0,DC54=""),0,IF(DC54=$G$37,$K$37,IF(DC54=$G$38,$K$38,IF(DC54=$G$39,$K$39,IF(DC54=$G$40,$K$40,IF(DC54=$G$41,$K$41,IF(DC54=$G$42,$K$42,IF(DC54=$G$43,$K$43,""))))))))</f>
        <v>0</v>
      </c>
      <c r="DF54" s="123">
        <f t="shared" ref="DF54:DF73" si="205">IF(OR(DC54=0,DC54=""),0,IF(DC54=$G$44,$K$44,IF(DC54=$G$45,$K$45,IF(DC54=$G$46,$K$46,IF(DC54=$G$47,$K$47,IF(DC54=$G$48,$K$48,IF(DC54=$G$49,$K$49,"")))))))</f>
        <v>0</v>
      </c>
      <c r="DG54" s="215">
        <f>IF(DC54="",0,MAX(DD54:DE54:DF54))</f>
        <v>0</v>
      </c>
      <c r="DH54" s="216" t="str">
        <f>IF(DC54="","",IF(DC54=$G$30,$F$30,IF(DC54=$G$31,$F$31,IF(DC54=$G$32,$F$32,IF(DC54=$G$33,$F$33,IF(DC54=$G$34,$F$34,IF(DC54=$G$35,$F$35,IF(DC54=$G$36,$F$36,""))))))))</f>
        <v/>
      </c>
      <c r="DI54" s="217" t="str">
        <f>IF(DC54="","",IF(DC54=$G$37,$F$37,IF(DC54=$G$38,$F$38,IF(DC54=$G$39,$F$39,IF(DC54=$G$40,$F$40,IF(DC54=$G$41,$F$41,IF(DC54=$G$42,$F$42,IF(DC54=$G$43,$F$43,""))))))))</f>
        <v/>
      </c>
      <c r="DJ54" s="217" t="str">
        <f>IF(DC54="","",IF(DC54=$G$44,$F$44,IF(DC54=$G$45,$F$45,IF(DC54=$G$46,$F$46,IF(DC54=$G$47,$F$47,IF(DC54=$G$48,$F$48,IF(DC54=$G$49,$F$49,"")))))))</f>
        <v/>
      </c>
      <c r="DK54" s="49" t="str">
        <f t="shared" ref="DK54:DK73" si="206">IF(DH54&lt;&gt;"",DH54,IF(DI54&lt;&gt;"",DI54,IF(DJ54&lt;&gt;"",DJ54,"")))</f>
        <v/>
      </c>
      <c r="DL54" s="123">
        <f t="shared" ref="DL54:DL73" si="207">IF(OR(DK54=0,DK54=""),0,IF(DK54=$G$30,$K$30,IF(DK54=$G$31,$K$31,IF(DK54=$G$32,$K$32,IF(DK54=$G$33,$K$33,IF(DK54=$G$34,$K$34,IF(DK54=$G$35,$K$35,IF(DK54=$G$36,$K$36,""))))))))</f>
        <v>0</v>
      </c>
      <c r="DM54" s="123">
        <f t="shared" ref="DM54:DM73" si="208">IF(OR(DK54=0,DK54=""),0,IF(DK54=$G$37,$K$37,IF(DK54=$G$38,$K$38,IF(DK54=$G$39,$K$39,IF(DK54=$G$40,$K$40,IF(DK54=$G$41,$K$41,IF(DK54=$G$42,$K$42,IF(DK54=$G$43,$K$43,""))))))))</f>
        <v>0</v>
      </c>
      <c r="DN54" s="123">
        <f t="shared" ref="DN54:DN73" si="209">IF(OR(DK54=0,DK54=""),0,IF(DK54=$G$44,$K$44,IF(DK54=$G$45,$K$45,IF(DK54=$G$46,$K$46,IF(DK54=$G$47,$K$47,IF(DK54=$G$48,$K$48,IF(DK54=$G$49,$K$49,"")))))))</f>
        <v>0</v>
      </c>
      <c r="DO54" s="215">
        <f>IF(DK54="",0,MAX(DL54:DM54:DN54))</f>
        <v>0</v>
      </c>
      <c r="DP54" s="216" t="str">
        <f>IF(DK54="","",IF(DK54=$G$30,$F$30,IF(DK54=$G$31,$F$31,IF(DK54=$G$32,$F$32,IF(DK54=$G$33,$F$33,IF(DK54=$G$34,$F$34,IF(DK54=$G$35,$F$35,IF(DK54=$G$36,$F$36,""))))))))</f>
        <v/>
      </c>
      <c r="DQ54" s="217" t="str">
        <f>IF(DK54="","",IF(DK54=$G$37,$F$37,IF(DK54=$G$38,$F$38,IF(DK54=$G$39,$F$39,IF(DK54=$G$40,$F$40,IF(DK54=$G$41,$F$41,IF(DK54=$G$42,$F$42,IF(DK54=$G$43,$F$43,""))))))))</f>
        <v/>
      </c>
      <c r="DR54" s="217" t="str">
        <f>IF(DK54="","",IF(DK54=$G$44,$F$44,IF(DK54=$G$45,$F$45,IF(DK54=$G$46,$F$46,IF(DK54=$G$47,$F$47,IF(DK54=$G$48,$F$48,IF(DK54=$G$49,$F$49,"")))))))</f>
        <v/>
      </c>
      <c r="DS54" s="49" t="str">
        <f t="shared" ref="DS54:DS73" si="210">IF(DP54&lt;&gt;"",DP54,IF(DQ54&lt;&gt;"",DQ54,IF(DR54&lt;&gt;"",DR54,"")))</f>
        <v/>
      </c>
      <c r="DT54" s="123">
        <f t="shared" ref="DT54:DT73" si="211">IF(OR(DS54=0,DS54=""),0,IF(DS54=$G$30,$K$30,IF(DS54=$G$31,$K$31,IF(DS54=$G$32,$K$32,IF(DS54=$G$33,$K$33,IF(DS54=$G$34,$K$34,IF(DS54=$G$35,$K$35,IF(DS54=$G$36,$K$36,""))))))))</f>
        <v>0</v>
      </c>
      <c r="DU54" s="123">
        <f t="shared" ref="DU54:DU73" si="212">IF(OR(DS54=0,DS54=""),0,IF(DS54=$G$37,$K$37,IF(DS54=$G$38,$K$38,IF(DS54=$G$39,$K$39,IF(DS54=$G$40,$K$40,IF(DS54=$G$41,$K$41,IF(DS54=$G$42,$K$42,IF(DS54=$G$43,$K$43,""))))))))</f>
        <v>0</v>
      </c>
      <c r="DV54" s="123">
        <f t="shared" ref="DV54:DV73" si="213">IF(OR(DS54=0,DS54=""),0,IF(DS54=$G$44,$K$44,IF(DS54=$G$45,$K$45,IF(DS54=$G$46,$K$46,IF(DS54=$G$47,$K$47,IF(DS54=$G$48,$K$48,IF(DS54=$G$49,$K$49,"")))))))</f>
        <v>0</v>
      </c>
      <c r="DW54" s="215">
        <f>IF(DS54="",0,MAX(DT54:DU54:DV54))</f>
        <v>0</v>
      </c>
      <c r="DX54" s="216" t="str">
        <f>IF(DS54="","",IF(DS54=$G$30,$F$30,IF(DS54=$G$31,$F$31,IF(DS54=$G$32,$F$32,IF(DS54=$G$33,$F$33,IF(DS54=$G$34,$F$34,IF(DS54=$G$35,$F$35,IF(DS54=$G$36,$F$36,""))))))))</f>
        <v/>
      </c>
      <c r="DY54" s="217" t="str">
        <f>IF(DS54="","",IF(DS54=$G$37,$F$37,IF(DS54=$G$38,$F$38,IF(DS54=$G$39,$F$39,IF(DS54=$G$40,$F$40,IF(DS54=$G$41,$F$41,IF(DS54=$G$42,$F$42,IF(DS54=$G$43,$F$43,""))))))))</f>
        <v/>
      </c>
      <c r="DZ54" s="217" t="str">
        <f>IF(DS54="","",IF(DS54=$G$44,$F$44,IF(DS54=$G$45,$F$45,IF(DS54=$G$46,$F$46,IF(DS54=$G$47,$F$47,IF(DS54=$G$48,$F$48,IF(DS54=$G$49,$F$49,"")))))))</f>
        <v/>
      </c>
      <c r="EA54" s="49" t="str">
        <f t="shared" ref="EA54:EA73" si="214">IF(DX54&lt;&gt;"",DX54,IF(DY54&lt;&gt;"",DY54,IF(DZ54&lt;&gt;"",DZ54,"")))</f>
        <v/>
      </c>
      <c r="EB54" s="123">
        <f t="shared" ref="EB54:EB73" si="215">IF(OR(EA54=0,EA54=""),0,IF(EA54=$G$30,$K$30,IF(EA54=$G$31,$K$31,IF(EA54=$G$32,$K$32,IF(EA54=$G$33,$K$33,IF(EA54=$G$34,$K$34,IF(EA54=$G$35,$K$35,IF(EA54=$G$36,$K$36,""))))))))</f>
        <v>0</v>
      </c>
      <c r="EC54" s="123">
        <f t="shared" ref="EC54:EC73" si="216">IF(OR(EA54=0,EA54=""),0,IF(EA54=$G$37,$K$37,IF(EA54=$G$38,$K$38,IF(EA54=$G$39,$K$39,IF(EA54=$G$40,$K$40,IF(EA54=$G$41,$K$41,IF(EA54=$G$42,$K$42,IF(EA54=$G$43,$K$43,""))))))))</f>
        <v>0</v>
      </c>
      <c r="ED54" s="123">
        <f t="shared" ref="ED54:ED73" si="217">IF(OR(EA54=0,EA54=""),0,IF(EA54=$G$44,$K$44,IF(EA54=$G$45,$K$45,IF(EA54=$G$46,$K$46,IF(EA54=$G$47,$K$47,IF(EA54=$G$48,$K$48,IF(EA54=$G$49,$K$49,"")))))))</f>
        <v>0</v>
      </c>
      <c r="EE54" s="215">
        <f>IF(EA54="",0,MAX(EB54:EC54:ED54))</f>
        <v>0</v>
      </c>
      <c r="EF54" s="216" t="str">
        <f>IF(EA54="","",IF(EA54=$G$30,$F$30,IF(EA54=$G$31,$F$31,IF(EA54=$G$32,$F$32,IF(EA54=$G$33,$F$33,IF(EA54=$G$34,$F$34,IF(EA54=$G$35,$F$35,IF(EA54=$G$36,$F$36,""))))))))</f>
        <v/>
      </c>
      <c r="EG54" s="217" t="str">
        <f>IF(EA54="","",IF(EA54=$G$37,$F$37,IF(EA54=$G$38,$F$38,IF(EA54=$G$39,$F$39,IF(EA54=$G$40,$F$40,IF(EA54=$G$41,$F$41,IF(EA54=$G$42,$F$42,IF(EA54=$G$43,$F$43,""))))))))</f>
        <v/>
      </c>
      <c r="EH54" s="217" t="str">
        <f>IF(EA54="","",IF(EA54=$G$44,$F$44,IF(EA54=$G$45,$F$45,IF(EA54=$G$46,$F$46,IF(EA54=$G$47,$F$47,IF(EA54=$G$48,$F$48,IF(EA54=$G$49,$F$49,"")))))))</f>
        <v/>
      </c>
      <c r="EI54" s="49" t="str">
        <f t="shared" ref="EI54:EI73" si="218">IF(EF54&lt;&gt;"",EF54,IF(EG54&lt;&gt;"",EG54,IF(EH54&lt;&gt;"",EH54,"")))</f>
        <v/>
      </c>
      <c r="EJ54" s="123">
        <f t="shared" ref="EJ54:EJ73" si="219">IF(OR(EI54=0,EI54=""),0,IF(EI54=$G$30,$K$30,IF(EI54=$G$31,$K$31,IF(EI54=$G$32,$K$32,IF(EI54=$G$33,$K$33,IF(EI54=$G$34,$K$34,IF(EI54=$G$35,$K$35,IF(EI54=$G$36,$K$36,""))))))))</f>
        <v>0</v>
      </c>
      <c r="EK54" s="123">
        <f t="shared" ref="EK54:EK73" si="220">IF(OR(EI54=0,EI54=""),0,IF(EI54=$G$37,$K$37,IF(EI54=$G$38,$K$38,IF(EI54=$G$39,$K$39,IF(EI54=$G$40,$K$40,IF(EI54=$G$41,$K$41,IF(EI54=$G$42,$K$42,IF(EI54=$G$43,$K$43,""))))))))</f>
        <v>0</v>
      </c>
      <c r="EL54" s="123">
        <f t="shared" ref="EL54:EL73" si="221">IF(OR(EI54=0,EI54=""),0,IF(EI54=$G$44,$K$44,IF(EI54=$G$45,$K$45,IF(EI54=$G$46,$K$46,IF(EI54=$G$47,$K$47,IF(EI54=$G$48,$K$48,IF(EI54=$G$49,$K$49,"")))))))</f>
        <v>0</v>
      </c>
      <c r="EM54" s="215">
        <f>IF(EI54="",0,MAX(EJ54:EK54:EL54))</f>
        <v>0</v>
      </c>
      <c r="EN54" s="216" t="str">
        <f>IF(EI54="","",IF(EI54=$G$30,$F$30,IF(EI54=$G$31,$F$31,IF(EI54=$G$32,$F$32,IF(EI54=$G$33,$F$33,IF(EI54=$G$34,$F$34,IF(EI54=$G$35,$F$35,IF(EI54=$G$36,$F$36,""))))))))</f>
        <v/>
      </c>
      <c r="EO54" s="217" t="str">
        <f>IF(EI54="","",IF(EI54=$G$37,$F$37,IF(EI54=$G$38,$F$38,IF(EI54=$G$39,$F$39,IF(EI54=$G$40,$F$40,IF(EI54=$G$41,$F$41,IF(EI54=$G$42,$F$42,IF(EI54=$G$43,$F$43,""))))))))</f>
        <v/>
      </c>
      <c r="EP54" s="217" t="str">
        <f>IF(EI54="","",IF(EI54=$G$44,$F$44,IF(EI54=$G$45,$F$45,IF(EI54=$G$46,$F$46,IF(EI54=$G$47,$F$47,IF(EI54=$G$48,$F$48,IF(EI54=$G$49,$F$49,"")))))))</f>
        <v/>
      </c>
      <c r="EQ54" s="49" t="str">
        <f t="shared" ref="EQ54:EQ73" si="222">IF(EN54&lt;&gt;"",EN54,IF(EO54&lt;&gt;"",EO54,IF(EP54&lt;&gt;"",EP54,"")))</f>
        <v/>
      </c>
      <c r="ER54" s="123">
        <f t="shared" ref="ER54:ER73" si="223">IF(OR(EQ54=0,EQ54=""),0,IF(EQ54=$G$30,$K$30,IF(EQ54=$G$31,$K$31,IF(EQ54=$G$32,$K$32,IF(EQ54=$G$33,$K$33,IF(EQ54=$G$34,$K$34,IF(EQ54=$G$35,$K$35,IF(EQ54=$G$36,$K$36,""))))))))</f>
        <v>0</v>
      </c>
      <c r="ES54" s="123">
        <f t="shared" ref="ES54:ES73" si="224">IF(OR(EQ54=0,EQ54=""),0,IF(EQ54=$G$37,$K$37,IF(EQ54=$G$38,$K$38,IF(EQ54=$G$39,$K$39,IF(EQ54=$G$40,$K$40,IF(EQ54=$G$41,$K$41,IF(EQ54=$G$42,$K$42,IF(EQ54=$G$43,$K$43,""))))))))</f>
        <v>0</v>
      </c>
      <c r="ET54" s="123">
        <f t="shared" ref="ET54:ET73" si="225">IF(OR(EQ54=0,EQ54=""),0,IF(EQ54=$G$44,$K$44,IF(EQ54=$G$45,$K$45,IF(EQ54=$G$46,$K$46,IF(EQ54=$G$47,$K$47,IF(EQ54=$G$48,$K$48,IF(EQ54=$G$49,$K$49,"")))))))</f>
        <v>0</v>
      </c>
      <c r="EU54" s="215">
        <f>IF(EQ54="",0,MAX(ER54:ES54:ET54))</f>
        <v>0</v>
      </c>
      <c r="EV54" s="216" t="str">
        <f>IF(EQ54="","",IF(EQ54=$G$30,$F$30,IF(EQ54=$G$31,$F$31,IF(EQ54=$G$32,$F$32,IF(EQ54=$G$33,$F$33,IF(EQ54=$G$34,$F$34,IF(EQ54=$G$35,$F$35,IF(EQ54=$G$36,$F$36,""))))))))</f>
        <v/>
      </c>
      <c r="EW54" s="217" t="str">
        <f>IF(EQ54="","",IF(EQ54=$G$37,$F$37,IF(EQ54=$G$38,$F$38,IF(EQ54=$G$39,$F$39,IF(EQ54=$G$40,$F$40,IF(EQ54=$G$41,$F$41,IF(EQ54=$G$42,$F$42,IF(EQ54=$G$43,$F$43,""))))))))</f>
        <v/>
      </c>
      <c r="EX54" s="217" t="str">
        <f>IF(EQ54="","",IF(EQ54=$G$44,$F$44,IF(EQ54=$G$45,$F$45,IF(EQ54=$G$46,$F$46,IF(EQ54=$G$47,$F$47,IF(EQ54=$G$48,$F$48,IF(EQ54=$G$49,$F$49,"")))))))</f>
        <v/>
      </c>
      <c r="EY54" s="49" t="str">
        <f t="shared" ref="EY54:EY73" si="226">IF(EV54&lt;&gt;"",EV54,IF(EW54&lt;&gt;"",EW54,IF(EX54&lt;&gt;"",EX54,"")))</f>
        <v/>
      </c>
      <c r="EZ54" s="123">
        <f t="shared" ref="EZ54:EZ73" si="227">IF(OR(EY54=0,EY54=""),0,IF(EY54=$G$30,$K$30,IF(EY54=$G$31,$K$31,IF(EY54=$G$32,$K$32,IF(EY54=$G$33,$K$33,IF(EY54=$G$34,$K$34,IF(EY54=$G$35,$K$35,IF(EY54=$G$36,$K$36,""))))))))</f>
        <v>0</v>
      </c>
      <c r="FA54" s="123">
        <f t="shared" ref="FA54:FA73" si="228">IF(OR(EY54=0,EY54=""),0,IF(EY54=$G$37,$K$37,IF(EY54=$G$38,$K$38,IF(EY54=$G$39,$K$39,IF(EY54=$G$40,$K$40,IF(EY54=$G$41,$K$41,IF(EY54=$G$42,$K$42,IF(EY54=$G$43,$K$43,""))))))))</f>
        <v>0</v>
      </c>
      <c r="FB54" s="123">
        <f t="shared" ref="FB54:FB73" si="229">IF(OR(EY54=0,EY54=""),0,IF(EY54=$G$44,$K$44,IF(EY54=$G$45,$K$45,IF(EY54=$G$46,$K$46,IF(EY54=$G$47,$K$47,IF(EY54=$G$48,$K$48,IF(EY54=$G$49,$K$49,"")))))))</f>
        <v>0</v>
      </c>
      <c r="FC54" s="215">
        <f>IF(EY54="",0,MAX(EZ54:FA54:FB54))</f>
        <v>0</v>
      </c>
      <c r="FD54" s="216" t="str">
        <f>IF(EY54="","",IF(EY54=$G$30,$F$30,IF(EY54=$G$31,$F$31,IF(EY54=$G$32,$F$32,IF(EY54=$G$33,$F$33,IF(EY54=$G$34,$F$34,IF(EY54=$G$35,$F$35,IF(EY54=$G$36,$F$36,""))))))))</f>
        <v/>
      </c>
      <c r="FE54" s="217" t="str">
        <f>IF(EY54="","",IF(EY54=$G$37,$F$37,IF(EY54=$G$38,$F$38,IF(EY54=$G$39,$F$39,IF(EY54=$G$40,$F$40,IF(EY54=$G$41,$F$41,IF(EY54=$G$42,$F$42,IF(EY54=$G$43,$F$43,""))))))))</f>
        <v/>
      </c>
      <c r="FF54" s="217" t="str">
        <f>IF(EY54="","",IF(EY54=$G$44,$F$44,IF(EY54=$G$45,$F$45,IF(EY54=$G$46,$F$46,IF(EY54=$G$47,$F$47,IF(EY54=$G$48,$F$48,IF(EY54=$G$49,$F$49,"")))))))</f>
        <v/>
      </c>
      <c r="FG54" s="49" t="str">
        <f t="shared" ref="FG54:FG73" si="230">IF(FD54&lt;&gt;"",FD54,IF(FE54&lt;&gt;"",FE54,IF(FF54&lt;&gt;"",FF54,"")))</f>
        <v/>
      </c>
      <c r="FH54" s="123">
        <f t="shared" ref="FH54:FH73" si="231">IF(OR(FG54=0,FG54=""),0,IF(FG54=$G$30,$K$30,IF(FG54=$G$31,$K$31,IF(FG54=$G$32,$K$32,IF(FG54=$G$33,$K$33,IF(FG54=$G$34,$K$34,IF(FG54=$G$35,$K$35,IF(FG54=$G$36,$K$36,""))))))))</f>
        <v>0</v>
      </c>
      <c r="FI54" s="123">
        <f t="shared" ref="FI54:FI73" si="232">IF(OR(FG54=0,FG54=""),0,IF(FG54=$G$37,$K$37,IF(FG54=$G$38,$K$38,IF(FG54=$G$39,$K$39,IF(FG54=$G$40,$K$40,IF(FG54=$G$41,$K$41,IF(FG54=$G$42,$K$42,IF(FG54=$G$43,$K$43,""))))))))</f>
        <v>0</v>
      </c>
      <c r="FJ54" s="123">
        <f t="shared" ref="FJ54:FJ73" si="233">IF(OR(FG54=0,FG54=""),0,IF(FG54=$G$44,$K$44,IF(FG54=$G$45,$K$45,IF(FG54=$G$46,$K$46,IF(FG54=$G$47,$K$47,IF(FG54=$G$48,$K$48,IF(FG54=$G$49,$K$49,"")))))))</f>
        <v>0</v>
      </c>
      <c r="FK54" s="215">
        <f>IF(FG54="",0,MAX(FH54:FI54:FJ54))</f>
        <v>0</v>
      </c>
      <c r="FL54" s="216" t="str">
        <f>IF(FG54="","",IF(FG54=$G$30,$F$30,IF(FG54=$G$31,$F$31,IF(FG54=$G$32,$F$32,IF(FG54=$G$33,$F$33,IF(FG54=$G$34,$F$34,IF(FG54=$G$35,$F$35,IF(FG54=$G$36,$F$36,""))))))))</f>
        <v/>
      </c>
      <c r="FM54" s="217" t="str">
        <f>IF(FG54="","",IF(FG54=$G$37,$F$37,IF(FG54=$G$38,$F$38,IF(FG54=$G$39,$F$39,IF(FG54=$G$40,$F$40,IF(FG54=$G$41,$F$41,IF(FG54=$G$42,$F$42,IF(FG54=$G$43,$F$43,""))))))))</f>
        <v/>
      </c>
      <c r="FN54" s="217" t="str">
        <f>IF(FG54="","",IF(FG54=$G$44,$F$44,IF(FG54=$G$45,$F$45,IF(FG54=$G$46,$F$46,IF(FG54=$G$47,$F$47,IF(FG54=$G$48,$F$48,IF(FG54=$G$49,$F$49,"")))))))</f>
        <v/>
      </c>
      <c r="FO54" s="49" t="str">
        <f t="shared" ref="FO54:FO73" si="234">IF(FL54&lt;&gt;"",FL54,IF(FM54&lt;&gt;"",FM54,IF(FN54&lt;&gt;"",FN54,"")))</f>
        <v/>
      </c>
      <c r="FP54" s="123">
        <f t="shared" ref="FP54:FP73" si="235">IF(OR(FO54=0,FO54=""),0,IF(FO54=$G$30,$K$30,IF(FO54=$G$31,$K$31,IF(FO54=$G$32,$K$32,IF(FO54=$G$33,$K$33,IF(FO54=$G$34,$K$34,IF(FO54=$G$35,$K$35,IF(FO54=$G$36,$K$36,""))))))))</f>
        <v>0</v>
      </c>
      <c r="FQ54" s="123">
        <f t="shared" ref="FQ54:FQ73" si="236">IF(OR(FO54=0,FO54=""),0,IF(FO54=$G$37,$K$37,IF(FO54=$G$38,$K$38,IF(FO54=$G$39,$K$39,IF(FO54=$G$40,$K$40,IF(FO54=$G$41,$K$41,IF(FO54=$G$42,$K$42,IF(FO54=$G$43,$K$43,""))))))))</f>
        <v>0</v>
      </c>
      <c r="FR54" s="123">
        <f t="shared" ref="FR54:FR73" si="237">IF(OR(FO54=0,FO54=""),0,IF(FO54=$G$44,$K$44,IF(FO54=$G$45,$K$45,IF(FO54=$G$46,$K$46,IF(FO54=$G$47,$K$47,IF(FO54=$G$48,$K$48,IF(FO54=$G$49,$K$49,"")))))))</f>
        <v>0</v>
      </c>
      <c r="FS54" s="215">
        <f>IF(FO54="",0,MAX(FP54:FQ54:FR54))</f>
        <v>0</v>
      </c>
      <c r="FT54" s="216" t="str">
        <f>IF(FO54="","",IF(FO54=$G$30,$F$30,IF(FO54=$G$31,$F$31,IF(FO54=$G$32,$F$32,IF(FO54=$G$33,$F$33,IF(FO54=$G$34,$F$34,IF(FO54=$G$35,$F$35,IF(FO54=$G$36,$F$36,""))))))))</f>
        <v/>
      </c>
      <c r="FU54" s="217" t="str">
        <f>IF(FO54="","",IF(FO54=$G$37,$F$37,IF(FO54=$G$38,$F$38,IF(FO54=$G$39,$F$39,IF(FO54=$G$40,$F$40,IF(FO54=$G$41,$F$41,IF(FO54=$G$42,$F$42,IF(FO54=$G$43,$F$43,""))))))))</f>
        <v/>
      </c>
      <c r="FV54" s="217" t="str">
        <f>IF(FO54="","",IF(FO54=$G$44,$F$44,IF(FO54=$G$45,$F$45,IF(FO54=$G$46,$F$46,IF(FO54=$G$47,$F$47,IF(FO54=$G$48,$F$48,IF(FO54=$G$49,$F$49,"")))))))</f>
        <v/>
      </c>
      <c r="FW54" s="49" t="str">
        <f t="shared" ref="FW54:FW73" si="238">IF(FT54&lt;&gt;"",FT54,IF(FU54&lt;&gt;"",FU54,IF(FV54&lt;&gt;"",FV54,"")))</f>
        <v/>
      </c>
      <c r="FX54" s="123">
        <f t="shared" ref="FX54:FX73" si="239">IF(OR(FW54=0,FW54=""),0,IF(FW54=$G$30,$K$30,IF(FW54=$G$31,$K$31,IF(FW54=$G$32,$K$32,IF(FW54=$G$33,$K$33,IF(FW54=$G$34,$K$34,IF(FW54=$G$35,$K$35,IF(FW54=$G$36,$K$36,""))))))))</f>
        <v>0</v>
      </c>
      <c r="FY54" s="123">
        <f t="shared" ref="FY54:FY73" si="240">IF(OR(FW54=0,FW54=""),0,IF(FW54=$G$37,$K$37,IF(FW54=$G$38,$K$38,IF(FW54=$G$39,$K$39,IF(FW54=$G$40,$K$40,IF(FW54=$G$41,$K$41,IF(FW54=$G$42,$K$42,IF(FW54=$G$43,$K$43,""))))))))</f>
        <v>0</v>
      </c>
      <c r="FZ54" s="123">
        <f t="shared" ref="FZ54:FZ73" si="241">IF(OR(FW54=0,FW54=""),0,IF(FW54=$G$44,$K$44,IF(FW54=$G$45,$K$45,IF(FW54=$G$46,$K$46,IF(FW54=$G$47,$K$47,IF(FW54=$G$48,$K$48,IF(FW54=$G$49,$K$49,"")))))))</f>
        <v>0</v>
      </c>
      <c r="GA54" s="215">
        <f>IF(FW54="",0,MAX(FX54:FY54:FZ54))</f>
        <v>0</v>
      </c>
      <c r="GB54" s="216" t="str">
        <f>IF(FW54="","",IF(FW54=$G$30,$F$30,IF(FW54=$G$31,$F$31,IF(FW54=$G$32,$F$32,IF(FW54=$G$33,$F$33,IF(FW54=$G$34,$F$34,IF(FW54=$G$35,$F$35,IF(FW54=$G$36,$F$36,""))))))))</f>
        <v/>
      </c>
      <c r="GC54" s="217" t="str">
        <f>IF(FW54="","",IF(FW54=$G$37,$F$37,IF(FW54=$G$38,$F$38,IF(FW54=$G$39,$F$39,IF(FW54=$G$40,$F$40,IF(FW54=$G$41,$F$41,IF(FW54=$G$42,$F$42,IF(FW54=$G$43,$F$43,""))))))))</f>
        <v/>
      </c>
      <c r="GD54" s="217" t="str">
        <f>IF(FW54="","",IF(FW54=$G$44,$F$44,IF(FW54=$G$45,$F$45,IF(FW54=$G$46,$F$46,IF(FW54=$G$47,$F$47,IF(FW54=$G$48,$F$48,IF(FW54=$G$49,$F$49,"")))))))</f>
        <v/>
      </c>
      <c r="GE54" s="49" t="str">
        <f t="shared" ref="GE54:GE73" si="242">IF(GB54&lt;&gt;"",GB54,IF(GC54&lt;&gt;"",GC54,IF(GD54&lt;&gt;"",GD54,"")))</f>
        <v/>
      </c>
      <c r="GF54" s="123">
        <f t="shared" ref="GF54:GF73" si="243">IF(OR(GE54=0,GE54=""),0,IF(GE54=$G$30,$K$30,IF(GE54=$G$31,$K$31,IF(GE54=$G$32,$K$32,IF(GE54=$G$33,$K$33,IF(GE54=$G$34,$K$34,IF(GE54=$G$35,$K$35,IF(GE54=$G$36,$K$36,""))))))))</f>
        <v>0</v>
      </c>
      <c r="GG54" s="123">
        <f t="shared" ref="GG54:GG73" si="244">IF(OR(GE54=0,GE54=""),0,IF(GE54=$G$37,$K$37,IF(GE54=$G$38,$K$38,IF(GE54=$G$39,$K$39,IF(GE54=$G$40,$K$40,IF(GE54=$G$41,$K$41,IF(GE54=$G$42,$K$42,IF(GE54=$G$43,$K$43,""))))))))</f>
        <v>0</v>
      </c>
      <c r="GH54" s="123">
        <f t="shared" ref="GH54:GH73" si="245">IF(OR(GE54=0,GE54=""),0,IF(GE54=$G$44,$K$44,IF(GE54=$G$45,$K$45,IF(GE54=$G$46,$K$46,IF(GE54=$G$47,$K$47,IF(GE54=$G$48,$K$48,IF(GE54=$G$49,$K$49,"")))))))</f>
        <v>0</v>
      </c>
      <c r="GI54" s="215">
        <f>IF(GE54="",0,MAX(GF54:GG54:GH54))</f>
        <v>0</v>
      </c>
      <c r="GJ54" s="216" t="str">
        <f>IF(GE54="","",IF(GE54=$G$30,$F$30,IF(GE54=$G$31,$F$31,IF(GE54=$G$32,$F$32,IF(GE54=$G$33,$F$33,IF(GE54=$G$34,$F$34,IF(GE54=$G$35,$F$35,IF(GE54=$G$36,$F$36,""))))))))</f>
        <v/>
      </c>
      <c r="GK54" s="217" t="str">
        <f>IF(GE54="","",IF(GE54=$G$37,$F$37,IF(GE54=$G$38,$F$38,IF(GE54=$G$39,$F$39,IF(GE54=$G$40,$F$40,IF(GE54=$G$41,$F$41,IF(GE54=$G$42,$F$42,IF(GE54=$G$43,$F$43,""))))))))</f>
        <v/>
      </c>
      <c r="GL54" s="217" t="str">
        <f>IF(GE54="","",IF(GE54=$G$44,$F$44,IF(GE54=$G$45,$F$45,IF(GE54=$G$46,$F$46,IF(GE54=$G$47,$F$47,IF(GE54=$G$48,$F$48,IF(GE54=$G$49,$F$49,"")))))))</f>
        <v/>
      </c>
      <c r="GM54" s="49" t="str">
        <f t="shared" ref="GM54:GM73" si="246">IF(GJ54&lt;&gt;"",GJ54,IF(GK54&lt;&gt;"",GK54,IF(GL54&lt;&gt;"",GL54,"")))</f>
        <v/>
      </c>
      <c r="GN54" s="123">
        <f t="shared" ref="GN54:GN73" si="247">IF(OR(GM54=0,GM54=""),0,IF(GM54=$G$30,$K$30,IF(GM54=$G$31,$K$31,IF(GM54=$G$32,$K$32,IF(GM54=$G$33,$K$33,IF(GM54=$G$34,$K$34,IF(GM54=$G$35,$K$35,IF(GM54=$G$36,$K$36,""))))))))</f>
        <v>0</v>
      </c>
      <c r="GO54" s="123">
        <f t="shared" ref="GO54:GO73" si="248">IF(OR(GM54=0,GM54=""),0,IF(GM54=$G$37,$K$37,IF(GM54=$G$38,$K$38,IF(GM54=$G$39,$K$39,IF(GM54=$G$40,$K$40,IF(GM54=$G$41,$K$41,IF(GM54=$G$42,$K$42,IF(GM54=$G$43,$K$43,""))))))))</f>
        <v>0</v>
      </c>
      <c r="GP54" s="123">
        <f t="shared" ref="GP54:GP73" si="249">IF(OR(GM54=0,GM54=""),0,IF(GM54=$G$44,$K$44,IF(GM54=$G$45,$K$45,IF(GM54=$G$46,$K$46,IF(GM54=$G$47,$K$47,IF(GM54=$G$48,$K$48,IF(GM54=$G$49,$K$49,"")))))))</f>
        <v>0</v>
      </c>
      <c r="GQ54" s="215">
        <f>IF(GM54="",0,MAX(GN54:GO54:GP54))</f>
        <v>0</v>
      </c>
      <c r="GR54" s="216" t="str">
        <f>IF(GM54="","",IF(GM54=$G$30,$F$30,IF(GM54=$G$31,$F$31,IF(GM54=$G$32,$F$32,IF(GM54=$G$33,$F$33,IF(GM54=$G$34,$F$34,IF(GM54=$G$35,$F$35,IF(GM54=$G$36,$F$36,""))))))))</f>
        <v/>
      </c>
      <c r="GS54" s="217" t="str">
        <f>IF(GM54="","",IF(GM54=$G$37,$F$37,IF(GM54=$G$38,$F$38,IF(GM54=$G$39,$F$39,IF(GM54=$G$40,$F$40,IF(GM54=$G$41,$F$41,IF(GM54=$G$42,$F$42,IF(GM54=$G$43,$F$43,""))))))))</f>
        <v/>
      </c>
      <c r="GT54" s="217" t="str">
        <f>IF(GM54="","",IF(GM54=$G$44,$F$44,IF(GM54=$G$45,$F$45,IF(GM54=$G$46,$F$46,IF(GM54=$G$47,$F$47,IF(GM54=$G$48,$F$48,IF(GM54=$G$49,$F$49,"")))))))</f>
        <v/>
      </c>
      <c r="GU54" s="49" t="str">
        <f t="shared" ref="GU54:GU73" si="250">IF(GR54&lt;&gt;"",GR54,IF(GS54&lt;&gt;"",GS54,IF(GT54&lt;&gt;"",GT54,"")))</f>
        <v/>
      </c>
      <c r="GV54" s="123">
        <f t="shared" ref="GV54:GV73" si="251">IF(OR(GU54=0,GU54=""),0,IF(GU54=$G$30,$K$30,IF(GU54=$G$31,$K$31,IF(GU54=$G$32,$K$32,IF(GU54=$G$33,$K$33,IF(GU54=$G$34,$K$34,IF(GU54=$G$35,$K$35,IF(GU54=$G$36,$K$36,""))))))))</f>
        <v>0</v>
      </c>
      <c r="GW54" s="123">
        <f t="shared" ref="GW54:GW73" si="252">IF(OR(GU54=0,GU54=""),0,IF(GU54=$G$37,$K$37,IF(GU54=$G$38,$K$38,IF(GU54=$G$39,$K$39,IF(GU54=$G$40,$K$40,IF(GU54=$G$41,$K$41,IF(GU54=$G$42,$K$42,IF(GU54=$G$43,$K$43,""))))))))</f>
        <v>0</v>
      </c>
      <c r="GX54" s="123">
        <f t="shared" ref="GX54:GX73" si="253">IF(OR(GU54=0,GU54=""),0,IF(GU54=$G$44,$K$44,IF(GU54=$G$45,$K$45,IF(GU54=$G$46,$K$46,IF(GU54=$G$47,$K$47,IF(GU54=$G$48,$K$48,IF(GU54=$G$49,$K$49,"")))))))</f>
        <v>0</v>
      </c>
      <c r="GY54" s="215">
        <f>IF(GU54="",0,MAX(GV54:GW54:GX54))</f>
        <v>0</v>
      </c>
      <c r="GZ54" s="216" t="str">
        <f>IF(GU54="","",IF(GU54=$G$30,$F$30,IF(GU54=$G$31,$F$31,IF(GU54=$G$32,$F$32,IF(GU54=$G$33,$F$33,IF(GU54=$G$34,$F$34,IF(GU54=$G$35,$F$35,IF(GU54=$G$36,$F$36,""))))))))</f>
        <v/>
      </c>
      <c r="HA54" s="217" t="str">
        <f>IF(GU54="","",IF(GU54=$G$37,$F$37,IF(GU54=$G$38,$F$38,IF(GU54=$G$39,$F$39,IF(GU54=$G$40,$F$40,IF(GU54=$G$41,$F$41,IF(GU54=$G$42,$F$42,IF(GU54=$G$43,$F$43,""))))))))</f>
        <v/>
      </c>
      <c r="HB54" s="217" t="str">
        <f>IF(GU54="","",IF(GU54=$G$44,$F$44,IF(GU54=$G$45,$F$45,IF(GU54=$G$46,$F$46,IF(GU54=$G$47,$F$47,IF(GU54=$G$48,$F$48,IF(GU54=$G$49,$F$49,"")))))))</f>
        <v/>
      </c>
      <c r="HC54" s="49" t="str">
        <f t="shared" ref="HC54:HC73" si="254">IF(GZ54&lt;&gt;"",GZ54,IF(HA54&lt;&gt;"",HA54,IF(HB54&lt;&gt;"",HB54,"")))</f>
        <v/>
      </c>
      <c r="HD54" s="123">
        <f t="shared" ref="HD54:HD73" si="255">IF(OR(HC54=0,HC54=""),0,IF(HC54=$G$30,$K$30,IF(HC54=$G$31,$K$31,IF(HC54=$G$32,$K$32,IF(HC54=$G$33,$K$33,IF(HC54=$G$34,$K$34,IF(HC54=$G$35,$K$35,IF(HC54=$G$36,$K$36,""))))))))</f>
        <v>0</v>
      </c>
      <c r="HE54" s="123">
        <f t="shared" ref="HE54:HE73" si="256">IF(OR(HC54=0,HC54=""),0,IF(HC54=$G$37,$K$37,IF(HC54=$G$38,$K$38,IF(HC54=$G$39,$K$39,IF(HC54=$G$40,$K$40,IF(HC54=$G$41,$K$41,IF(HC54=$G$42,$K$42,IF(HC54=$G$43,$K$43,""))))))))</f>
        <v>0</v>
      </c>
      <c r="HF54" s="123">
        <f t="shared" ref="HF54:HF73" si="257">IF(OR(HC54=0,HC54=""),0,IF(HC54=$G$44,$K$44,IF(HC54=$G$45,$K$45,IF(HC54=$G$46,$K$46,IF(HC54=$G$47,$K$47,IF(HC54=$G$48,$K$48,IF(HC54=$G$49,$K$49,"")))))))</f>
        <v>0</v>
      </c>
      <c r="HG54" s="215">
        <f>IF(HC54="",0,MAX(HD54:HE54:HF54))</f>
        <v>0</v>
      </c>
      <c r="HH54" s="216" t="str">
        <f>IF(HC54="","",IF(HC54=$G$30,$F$30,IF(HC54=$G$31,$F$31,IF(HC54=$G$32,$F$32,IF(HC54=$G$33,$F$33,IF(HC54=$G$34,$F$34,IF(HC54=$G$35,$F$35,IF(HC54=$G$36,$F$36,""))))))))</f>
        <v/>
      </c>
      <c r="HI54" s="217" t="str">
        <f>IF(HC54="","",IF(HC54=$G$37,$F$37,IF(HC54=$G$38,$F$38,IF(HC54=$G$39,$F$39,IF(HC54=$G$40,$F$40,IF(HC54=$G$41,$F$41,IF(HC54=$G$42,$F$42,IF(HC54=$G$43,$F$43,""))))))))</f>
        <v/>
      </c>
      <c r="HJ54" s="217" t="str">
        <f>IF(HC54="","",IF(HC54=$G$44,$F$44,IF(HC54=$G$45,$F$45,IF(HC54=$G$46,$F$46,IF(HC54=$G$47,$F$47,IF(HC54=$G$48,$F$48,IF(HC54=$G$49,$F$49,"")))))))</f>
        <v/>
      </c>
      <c r="HK54" s="49" t="str">
        <f t="shared" ref="HK54:HK73" si="258">IF(HH54&lt;&gt;"",HH54,IF(HI54&lt;&gt;"",HI54,IF(HJ54&lt;&gt;"",HJ54,"")))</f>
        <v/>
      </c>
      <c r="HL54" s="123">
        <f t="shared" ref="HL54:HL73" si="259">IF(OR(HK54=0,HK54=""),0,IF(HK54=$G$30,$K$30,IF(HK54=$G$31,$K$31,IF(HK54=$G$32,$K$32,IF(HK54=$G$33,$K$33,IF(HK54=$G$34,$K$34,IF(HK54=$G$35,$K$35,IF(HK54=$G$36,$K$36,""))))))))</f>
        <v>0</v>
      </c>
      <c r="HM54" s="123">
        <f t="shared" ref="HM54:HM73" si="260">IF(OR(HK54=0,HK54=""),0,IF(HK54=$G$37,$K$37,IF(HK54=$G$38,$K$38,IF(HK54=$G$39,$K$39,IF(HK54=$G$40,$K$40,IF(HK54=$G$41,$K$41,IF(HK54=$G$42,$K$42,IF(HK54=$G$43,$K$43,""))))))))</f>
        <v>0</v>
      </c>
      <c r="HN54" s="123">
        <f t="shared" ref="HN54:HN73" si="261">IF(OR(HK54=0,HK54=""),0,IF(HK54=$G$44,$K$44,IF(HK54=$G$45,$K$45,IF(HK54=$G$46,$K$46,IF(HK54=$G$47,$K$47,IF(HK54=$G$48,$K$48,IF(HK54=$G$49,$K$49,"")))))))</f>
        <v>0</v>
      </c>
      <c r="HO54" s="215">
        <f>IF(HK54="",0,MAX(HL54:HM54:HN54))</f>
        <v>0</v>
      </c>
      <c r="HP54" s="216" t="str">
        <f>IF(HK54="","",IF(HK54=$G$30,$F$30,IF(HK54=$G$31,$F$31,IF(HK54=$G$32,$F$32,IF(HK54=$G$33,$F$33,IF(HK54=$G$34,$F$34,IF(HK54=$G$35,$F$35,IF(HK54=$G$36,$F$36,""))))))))</f>
        <v/>
      </c>
      <c r="HQ54" s="217" t="str">
        <f>IF(HK54="","",IF(HK54=$G$37,$F$37,IF(HK54=$G$38,$F$38,IF(HK54=$G$39,$F$39,IF(HK54=$G$40,$F$40,IF(HK54=$G$41,$F$41,IF(HK54=$G$42,$F$42,IF(HK54=$G$43,$F$43,""))))))))</f>
        <v/>
      </c>
      <c r="HR54" s="217" t="str">
        <f>IF(HK54="","",IF(HK54=$G$44,$F$44,IF(HK54=$G$45,$F$45,IF(HK54=$G$46,$F$46,IF(HK54=$G$47,$F$47,IF(HK54=$G$48,$F$48,IF(HK54=$G$49,$F$49,"")))))))</f>
        <v/>
      </c>
      <c r="HS54" s="49" t="str">
        <f t="shared" ref="HS54:HS73" si="262">IF(HP54&lt;&gt;"",HP54,IF(HQ54&lt;&gt;"",HQ54,IF(HR54&lt;&gt;"",HR54,"")))</f>
        <v/>
      </c>
      <c r="HT54" s="123">
        <f t="shared" ref="HT54:HT73" si="263">IF(OR(HS54=0,HS54=""),0,IF(HS54=$G$30,$K$30,IF(HS54=$G$31,$K$31,IF(HS54=$G$32,$K$32,IF(HS54=$G$33,$K$33,IF(HS54=$G$34,$K$34,IF(HS54=$G$35,$K$35,IF(HS54=$G$36,$K$36,""))))))))</f>
        <v>0</v>
      </c>
      <c r="HU54" s="123">
        <f t="shared" ref="HU54:HU73" si="264">IF(OR(HS54=0,HS54=""),0,IF(HS54=$G$37,$K$37,IF(HS54=$G$38,$K$38,IF(HS54=$G$39,$K$39,IF(HS54=$G$40,$K$40,IF(HS54=$G$41,$K$41,IF(HS54=$G$42,$K$42,IF(HS54=$G$43,$K$43,""))))))))</f>
        <v>0</v>
      </c>
      <c r="HV54" s="123">
        <f t="shared" ref="HV54:HV73" si="265">IF(OR(HS54=0,HS54=""),0,IF(HS54=$G$44,$K$44,IF(HS54=$G$45,$K$45,IF(HS54=$G$46,$K$46,IF(HS54=$G$47,$K$47,IF(HS54=$G$48,$K$48,IF(HS54=$G$49,$K$49,"")))))))</f>
        <v>0</v>
      </c>
      <c r="HW54" s="215">
        <f>IF(HS54="",0,MAX(HT54:HU54:HV54))</f>
        <v>0</v>
      </c>
      <c r="HX54" s="216" t="str">
        <f>IF(HS54="","",IF(HS54=$G$30,$F$30,IF(HS54=$G$31,$F$31,IF(HS54=$G$32,$F$32,IF(HS54=$G$33,$F$33,IF(HS54=$G$34,$F$34,IF(HS54=$G$35,$F$35,IF(HS54=$G$36,$F$36,""))))))))</f>
        <v/>
      </c>
      <c r="HY54" s="217" t="str">
        <f>IF(HS54="","",IF(HS54=$G$37,$F$37,IF(HS54=$G$38,$F$38,IF(HS54=$G$39,$F$39,IF(HS54=$G$40,$F$40,IF(HS54=$G$41,$F$41,IF(HS54=$G$42,$F$42,IF(HS54=$G$43,$F$43,""))))))))</f>
        <v/>
      </c>
      <c r="HZ54" s="217" t="str">
        <f>IF(HS54="","",IF(HS54=$G$44,$F$44,IF(HS54=$G$45,$F$45,IF(HS54=$G$46,$F$46,IF(HS54=$G$47,$F$47,IF(HS54=$G$48,$F$48,IF(HS54=$G$49,$F$49,"")))))))</f>
        <v/>
      </c>
      <c r="IA54" s="49" t="str">
        <f t="shared" ref="IA54:IA73" si="266">IF(HX54&lt;&gt;"",HX54,IF(HY54&lt;&gt;"",HY54,IF(HZ54&lt;&gt;"",HZ54,"")))</f>
        <v/>
      </c>
      <c r="IB54" s="123">
        <f t="shared" ref="IB54:IB73" si="267">IF(OR(IA54=0,IA54=""),0,IF(IA54=$G$30,$K$30,IF(IA54=$G$31,$K$31,IF(IA54=$G$32,$K$32,IF(IA54=$G$33,$K$33,IF(IA54=$G$34,$K$34,IF(IA54=$G$35,$K$35,IF(IA54=$G$36,$K$36,""))))))))</f>
        <v>0</v>
      </c>
      <c r="IC54" s="123">
        <f t="shared" ref="IC54:IC73" si="268">IF(OR(IA54=0,IA54=""),0,IF(IA54=$G$37,$K$37,IF(IA54=$G$38,$K$38,IF(IA54=$G$39,$K$39,IF(IA54=$G$40,$K$40,IF(IA54=$G$41,$K$41,IF(IA54=$G$42,$K$42,IF(IA54=$G$43,$K$43,""))))))))</f>
        <v>0</v>
      </c>
      <c r="ID54" s="123">
        <f t="shared" ref="ID54:ID73" si="269">IF(OR(IA54=0,IA54=""),0,IF(IA54=$G$44,$K$44,IF(IA54=$G$45,$K$45,IF(IA54=$G$46,$K$46,IF(IA54=$G$47,$K$47,IF(IA54=$G$48,$K$48,IF(IA54=$G$49,$K$49,"")))))))</f>
        <v>0</v>
      </c>
      <c r="IE54" s="215">
        <f>IF(IA54="",0,MAX(IB54:IC54:ID54))</f>
        <v>0</v>
      </c>
      <c r="IF54" s="216" t="str">
        <f>IF(IA54="","",IF(IA54=$G$30,$F$30,IF(IA54=$G$31,$F$31,IF(IA54=$G$32,$F$32,IF(IA54=$G$33,$F$33,IF(IA54=$G$34,$F$34,IF(IA54=$G$35,$F$35,IF(IA54=$G$36,$F$36,""))))))))</f>
        <v/>
      </c>
      <c r="IG54" s="217" t="str">
        <f>IF(IA54="","",IF(IA54=$G$37,$F$37,IF(IA54=$G$38,$F$38,IF(IA54=$G$39,$F$39,IF(IA54=$G$40,$F$40,IF(IA54=$G$41,$F$41,IF(IA54=$G$42,$F$42,IF(IA54=$G$43,$F$43,""))))))))</f>
        <v/>
      </c>
      <c r="IH54" s="217" t="str">
        <f>IF(IA54="","",IF(IA54=$G$44,$F$44,IF(IA54=$G$45,$F$45,IF(IA54=$G$46,$F$46,IF(IA54=$G$47,$F$47,IF(IA54=$G$48,$F$48,IF(IA54=$G$49,$F$49,"")))))))</f>
        <v/>
      </c>
      <c r="II54" s="49" t="str">
        <f t="shared" ref="II54:II73" si="270">IF(IF54&lt;&gt;"",IF54,IF(IG54&lt;&gt;"",IG54,IF(IH54&lt;&gt;"",IH54,"")))</f>
        <v/>
      </c>
      <c r="IJ54" s="123">
        <f t="shared" ref="IJ54:IJ73" si="271">IF(OR(II54=0,II54=""),0,IF(II54=$G$30,$K$30,IF(II54=$G$31,$K$31,IF(II54=$G$32,$K$32,IF(II54=$G$33,$K$33,IF(II54=$G$34,$K$34,IF(II54=$G$35,$K$35,IF(II54=$G$36,$K$36,""))))))))</f>
        <v>0</v>
      </c>
      <c r="IK54" s="123">
        <f t="shared" ref="IK54:IK73" si="272">IF(OR(II54=0,II54=""),0,IF(II54=$G$37,$K$37,IF(II54=$G$38,$K$38,IF(II54=$G$39,$K$39,IF(II54=$G$40,$K$40,IF(II54=$G$41,$K$41,IF(II54=$G$42,$K$42,IF(II54=$G$43,$K$43,""))))))))</f>
        <v>0</v>
      </c>
      <c r="IL54" s="123">
        <f t="shared" ref="IL54:IL73" si="273">IF(OR(II54=0,II54=""),0,IF(II54=$G$44,$K$44,IF(II54=$G$45,$K$45,IF(II54=$G$46,$K$46,IF(II54=$G$47,$K$47,IF(II54=$G$48,$K$48,IF(II54=$G$49,$K$49,"")))))))</f>
        <v>0</v>
      </c>
      <c r="IM54" s="215">
        <f>IF(II54="",0,MAX(IJ54:IK54:IL54))</f>
        <v>0</v>
      </c>
      <c r="IN54" s="216" t="str">
        <f>IF(II54="","",IF(II54=$G$30,$F$30,IF(II54=$G$31,$F$31,IF(II54=$G$32,$F$32,IF(II54=$G$33,$F$33,IF(II54=$G$34,$F$34,IF(II54=$G$35,$F$35,IF(II54=$G$36,$F$36,""))))))))</f>
        <v/>
      </c>
      <c r="IO54" s="217" t="str">
        <f>IF(II54="","",IF(II54=$G$37,$F$37,IF(II54=$G$38,$F$38,IF(II54=$G$39,$F$39,IF(II54=$G$40,$F$40,IF(II54=$G$41,$F$41,IF(II54=$G$42,$F$42,IF(II54=$G$43,$F$43,""))))))))</f>
        <v/>
      </c>
      <c r="IP54" s="217" t="str">
        <f>IF(II54="","",IF(II54=$G$44,$F$44,IF(II54=$G$45,$F$45,IF(II54=$G$46,$F$46,IF(II54=$G$47,$F$47,IF(II54=$G$48,$F$48,IF(II54=$G$49,$F$49,"")))))))</f>
        <v/>
      </c>
      <c r="IQ54" s="49" t="str">
        <f t="shared" ref="IQ54:IQ73" si="274">IF(IN54&lt;&gt;"",IN54,IF(IO54&lt;&gt;"",IO54,IF(IP54&lt;&gt;"",IP54,"")))</f>
        <v/>
      </c>
      <c r="IR54" s="123">
        <f t="shared" ref="IR54:IR73" si="275">IF(OR(IQ54=0,IQ54=""),0,IF(IQ54=$G$30,$K$30,IF(IQ54=$G$31,$K$31,IF(IQ54=$G$32,$K$32,IF(IQ54=$G$33,$K$33,IF(IQ54=$G$34,$K$34,IF(IQ54=$G$35,$K$35,IF(IQ54=$G$36,$K$36,""))))))))</f>
        <v>0</v>
      </c>
      <c r="IS54" s="123">
        <f t="shared" ref="IS54:IS73" si="276">IF(OR(IQ54=0,IQ54=""),0,IF(IQ54=$G$37,$K$37,IF(IQ54=$G$38,$K$38,IF(IQ54=$G$39,$K$39,IF(IQ54=$G$40,$K$40,IF(IQ54=$G$41,$K$41,IF(IQ54=$G$42,$K$42,IF(IQ54=$G$43,$K$43,""))))))))</f>
        <v>0</v>
      </c>
      <c r="IT54" s="123">
        <f t="shared" ref="IT54:IT73" si="277">IF(OR(IQ54=0,IQ54=""),0,IF(IQ54=$G$44,$K$44,IF(IQ54=$G$45,$K$45,IF(IQ54=$G$46,$K$46,IF(IQ54=$G$47,$K$47,IF(IQ54=$G$48,$K$48,IF(IQ54=$G$49,$K$49,"")))))))</f>
        <v>0</v>
      </c>
      <c r="IU54" s="215">
        <f>IF(IQ54="",0,MAX(IR54:IS54:IT54))</f>
        <v>0</v>
      </c>
    </row>
    <row r="55" spans="1:255" ht="13.3" thickTop="1" thickBot="1" x14ac:dyDescent="0.35">
      <c r="D55" s="22"/>
      <c r="F55" s="168"/>
      <c r="U55" s="1189" t="e">
        <f>IF(AND(SUM(M13:M20)&lt;&gt;"",SUM(#REF!)&lt;&gt;""),"Indique o nº total de fogos correspondentes à 1ª Instalação Individual.",0)</f>
        <v>#REF!</v>
      </c>
      <c r="W55" s="315" t="str">
        <f t="shared" si="194"/>
        <v/>
      </c>
      <c r="Z55" s="511" t="str">
        <f t="shared" si="195"/>
        <v/>
      </c>
      <c r="AA55" s="1135" t="str">
        <f t="shared" si="196"/>
        <v/>
      </c>
      <c r="AB55" s="1136"/>
      <c r="AC55" s="1136"/>
      <c r="AG55" s="67"/>
      <c r="AV55" s="344" t="s">
        <v>489</v>
      </c>
      <c r="AW55" s="274" t="str">
        <f t="shared" si="197"/>
        <v/>
      </c>
      <c r="AX55" s="274" t="str">
        <f t="shared" si="198"/>
        <v/>
      </c>
      <c r="AY55" s="275" t="str">
        <f t="shared" si="199"/>
        <v/>
      </c>
      <c r="AZ55" s="284"/>
      <c r="BA55" s="275" t="str">
        <f>IF($AY54="","",IF(AND($BB55&lt;&gt;"",$BB55&gt;$AY54),$BB55,IF(AND($BB56&lt;&gt;"",$BB56&gt;$AY54),$BB56,IF(AND($BB57&lt;&gt;"",$BB57&gt;$AY54),$BB57,IF(AND($BB58&lt;&gt;"",$BB58&gt;$AY54),$BB58,IF(AND($BB59&lt;&gt;"",$BB59&gt;$AY54),$BB59,""))))))</f>
        <v/>
      </c>
      <c r="BB55" s="275" t="str">
        <f t="shared" si="200"/>
        <v/>
      </c>
      <c r="BC55" s="279" t="s">
        <v>249</v>
      </c>
      <c r="BD55" s="275">
        <v>0.75</v>
      </c>
      <c r="BE55" s="280">
        <f>BH55</f>
        <v>0</v>
      </c>
      <c r="BF55" s="344" t="s">
        <v>274</v>
      </c>
      <c r="BG55" s="346">
        <f t="shared" ref="BG55:BL55" si="278">SUM(BG56:BG75)</f>
        <v>0</v>
      </c>
      <c r="BH55" s="346">
        <f t="shared" si="278"/>
        <v>0</v>
      </c>
      <c r="BI55" s="346">
        <f t="shared" si="278"/>
        <v>0</v>
      </c>
      <c r="BJ55" s="346">
        <f t="shared" si="278"/>
        <v>0</v>
      </c>
      <c r="BK55" s="346">
        <f t="shared" si="278"/>
        <v>0</v>
      </c>
      <c r="BL55" s="346">
        <f t="shared" si="278"/>
        <v>0</v>
      </c>
      <c r="BM55" s="278" t="s">
        <v>255</v>
      </c>
      <c r="BO55" s="67"/>
      <c r="CW55" s="209" t="str">
        <f>IF(OR(CY55="",CY55=0),"",IF(CY55=$CY$53,"Crítico",""))</f>
        <v/>
      </c>
      <c r="CX55" s="204" t="str">
        <f t="shared" si="201"/>
        <v/>
      </c>
      <c r="CY55" s="43">
        <f t="shared" ref="CY55:CY73" si="279">DB55+DG55+DO55+DW55+EE55+EM55+EU55+FC55+FK55+FS55+GA55+GI55+GQ55+GY55+HG55+HO55+HW55+IE55+IM55+IU55</f>
        <v>0</v>
      </c>
      <c r="CZ55" s="214">
        <f>F31</f>
        <v>0</v>
      </c>
      <c r="DA55" s="45">
        <f t="shared" ref="DA55:DA73" si="280">G31</f>
        <v>0</v>
      </c>
      <c r="DB55" s="46">
        <f t="shared" si="202"/>
        <v>0</v>
      </c>
      <c r="DC55" s="47" t="str">
        <f t="shared" ref="DC55:DC73" si="281">IF(G31="","",F31)</f>
        <v/>
      </c>
      <c r="DD55" s="123">
        <f t="shared" si="203"/>
        <v>0</v>
      </c>
      <c r="DE55" s="123">
        <f t="shared" si="204"/>
        <v>0</v>
      </c>
      <c r="DF55" s="123">
        <f t="shared" si="205"/>
        <v>0</v>
      </c>
      <c r="DG55" s="215">
        <f>IF(DC55="",0,MAX(DD55:DE55:DF55))</f>
        <v>0</v>
      </c>
      <c r="DH55" s="216" t="str">
        <f t="shared" ref="DH55:DH73" si="282">IF(DC55="","",IF(DC55=$G$30,$F$30,IF(DC55=$G$31,$F$31,IF(DC55=$G$32,$F$32,IF(DC55=$G$33,$F$33,IF(DC55=$G$34,$F$34,IF(DC55=$G$35,$F$35,IF(DC55=$G$36,$F$36,""))))))))</f>
        <v/>
      </c>
      <c r="DI55" s="217" t="str">
        <f t="shared" ref="DI55:DI73" si="283">IF(DC55="","",IF(DC55=$G$37,$F$37,IF(DC55=$G$38,$F$38,IF(DC55=$G$39,$F$39,IF(DC55=$G$40,$F$40,IF(DC55=$G$41,$F$41,IF(DC55=$G$42,$F$42,IF(DC55=$G$43,$F$43,""))))))))</f>
        <v/>
      </c>
      <c r="DJ55" s="217" t="str">
        <f t="shared" ref="DJ55:DJ73" si="284">IF(DC55="","",IF(DC55=$G$44,$F$44,IF(DC55=$G$45,$F$45,IF(DC55=$G$46,$F$46,IF(DC55=$G$47,$F$47,IF(DC55=$G$48,$F$48,IF(DC55=$G$49,$F$49,"")))))))</f>
        <v/>
      </c>
      <c r="DK55" s="49" t="str">
        <f t="shared" si="206"/>
        <v/>
      </c>
      <c r="DL55" s="123">
        <f t="shared" si="207"/>
        <v>0</v>
      </c>
      <c r="DM55" s="123">
        <f t="shared" si="208"/>
        <v>0</v>
      </c>
      <c r="DN55" s="123">
        <f t="shared" si="209"/>
        <v>0</v>
      </c>
      <c r="DO55" s="215">
        <f>IF(DK55="",0,MAX(DL55:DM55:DN55))</f>
        <v>0</v>
      </c>
      <c r="DP55" s="216" t="str">
        <f t="shared" ref="DP55:DP73" si="285">IF(DK55="","",IF(DK55=$G$30,$F$30,IF(DK55=$G$31,$F$31,IF(DK55=$G$32,$F$32,IF(DK55=$G$33,$F$33,IF(DK55=$G$34,$F$34,IF(DK55=$G$35,$F$35,IF(DK55=$G$36,$F$36,""))))))))</f>
        <v/>
      </c>
      <c r="DQ55" s="217" t="str">
        <f t="shared" ref="DQ55:DQ73" si="286">IF(DK55="","",IF(DK55=$G$37,$F$37,IF(DK55=$G$38,$F$38,IF(DK55=$G$39,$F$39,IF(DK55=$G$40,$F$40,IF(DK55=$G$41,$F$41,IF(DK55=$G$42,$F$42,IF(DK55=$G$43,$F$43,""))))))))</f>
        <v/>
      </c>
      <c r="DR55" s="217" t="str">
        <f t="shared" ref="DR55:DR73" si="287">IF(DK55="","",IF(DK55=$G$44,$F$44,IF(DK55=$G$45,$F$45,IF(DK55=$G$46,$F$46,IF(DK55=$G$47,$F$47,IF(DK55=$G$48,$F$48,IF(DK55=$G$49,$F$49,"")))))))</f>
        <v/>
      </c>
      <c r="DS55" s="49" t="str">
        <f t="shared" si="210"/>
        <v/>
      </c>
      <c r="DT55" s="123">
        <f t="shared" si="211"/>
        <v>0</v>
      </c>
      <c r="DU55" s="123">
        <f t="shared" si="212"/>
        <v>0</v>
      </c>
      <c r="DV55" s="123">
        <f t="shared" si="213"/>
        <v>0</v>
      </c>
      <c r="DW55" s="215">
        <f>IF(DS55="",0,MAX(DT55:DU55:DV55))</f>
        <v>0</v>
      </c>
      <c r="DX55" s="216" t="str">
        <f t="shared" ref="DX55:DX73" si="288">IF(DS55="","",IF(DS55=$G$30,$F$30,IF(DS55=$G$31,$F$31,IF(DS55=$G$32,$F$32,IF(DS55=$G$33,$F$33,IF(DS55=$G$34,$F$34,IF(DS55=$G$35,$F$35,IF(DS55=$G$36,$F$36,""))))))))</f>
        <v/>
      </c>
      <c r="DY55" s="217" t="str">
        <f t="shared" ref="DY55:DY73" si="289">IF(DS55="","",IF(DS55=$G$37,$F$37,IF(DS55=$G$38,$F$38,IF(DS55=$G$39,$F$39,IF(DS55=$G$40,$F$40,IF(DS55=$G$41,$F$41,IF(DS55=$G$42,$F$42,IF(DS55=$G$43,$F$43,""))))))))</f>
        <v/>
      </c>
      <c r="DZ55" s="217" t="str">
        <f t="shared" ref="DZ55:DZ73" si="290">IF(DS55="","",IF(DS55=$G$44,$F$44,IF(DS55=$G$45,$F$45,IF(DS55=$G$46,$F$46,IF(DS55=$G$47,$F$47,IF(DS55=$G$48,$F$48,IF(DS55=$G$49,$F$49,"")))))))</f>
        <v/>
      </c>
      <c r="EA55" s="49" t="str">
        <f t="shared" si="214"/>
        <v/>
      </c>
      <c r="EB55" s="123">
        <f t="shared" si="215"/>
        <v>0</v>
      </c>
      <c r="EC55" s="123">
        <f t="shared" si="216"/>
        <v>0</v>
      </c>
      <c r="ED55" s="123">
        <f t="shared" si="217"/>
        <v>0</v>
      </c>
      <c r="EE55" s="215">
        <f>IF(EA55="",0,MAX(EB55:EC55:ED55))</f>
        <v>0</v>
      </c>
      <c r="EF55" s="216" t="str">
        <f t="shared" ref="EF55:EF73" si="291">IF(EA55="","",IF(EA55=$G$30,$F$30,IF(EA55=$G$31,$F$31,IF(EA55=$G$32,$F$32,IF(EA55=$G$33,$F$33,IF(EA55=$G$34,$F$34,IF(EA55=$G$35,$F$35,IF(EA55=$G$36,$F$36,""))))))))</f>
        <v/>
      </c>
      <c r="EG55" s="217" t="str">
        <f t="shared" ref="EG55:EG73" si="292">IF(EA55="","",IF(EA55=$G$37,$F$37,IF(EA55=$G$38,$F$38,IF(EA55=$G$39,$F$39,IF(EA55=$G$40,$F$40,IF(EA55=$G$41,$F$41,IF(EA55=$G$42,$F$42,IF(EA55=$G$43,$F$43,""))))))))</f>
        <v/>
      </c>
      <c r="EH55" s="217" t="str">
        <f t="shared" ref="EH55:EH73" si="293">IF(EA55="","",IF(EA55=$G$44,$F$44,IF(EA55=$G$45,$F$45,IF(EA55=$G$46,$F$46,IF(EA55=$G$47,$F$47,IF(EA55=$G$48,$F$48,IF(EA55=$G$49,$F$49,"")))))))</f>
        <v/>
      </c>
      <c r="EI55" s="49" t="str">
        <f t="shared" si="218"/>
        <v/>
      </c>
      <c r="EJ55" s="123">
        <f t="shared" si="219"/>
        <v>0</v>
      </c>
      <c r="EK55" s="123">
        <f t="shared" si="220"/>
        <v>0</v>
      </c>
      <c r="EL55" s="123">
        <f t="shared" si="221"/>
        <v>0</v>
      </c>
      <c r="EM55" s="215">
        <f>IF(EI55="",0,MAX(EJ55:EK55:EL55))</f>
        <v>0</v>
      </c>
      <c r="EN55" s="216" t="str">
        <f t="shared" ref="EN55:EN73" si="294">IF(EI55="","",IF(EI55=$G$30,$F$30,IF(EI55=$G$31,$F$31,IF(EI55=$G$32,$F$32,IF(EI55=$G$33,$F$33,IF(EI55=$G$34,$F$34,IF(EI55=$G$35,$F$35,IF(EI55=$G$36,$F$36,""))))))))</f>
        <v/>
      </c>
      <c r="EO55" s="217" t="str">
        <f t="shared" ref="EO55:EO73" si="295">IF(EI55="","",IF(EI55=$G$37,$F$37,IF(EI55=$G$38,$F$38,IF(EI55=$G$39,$F$39,IF(EI55=$G$40,$F$40,IF(EI55=$G$41,$F$41,IF(EI55=$G$42,$F$42,IF(EI55=$G$43,$F$43,""))))))))</f>
        <v/>
      </c>
      <c r="EP55" s="217" t="str">
        <f t="shared" ref="EP55:EP73" si="296">IF(EI55="","",IF(EI55=$G$44,$F$44,IF(EI55=$G$45,$F$45,IF(EI55=$G$46,$F$46,IF(EI55=$G$47,$F$47,IF(EI55=$G$48,$F$48,IF(EI55=$G$49,$F$49,"")))))))</f>
        <v/>
      </c>
      <c r="EQ55" s="49" t="str">
        <f t="shared" si="222"/>
        <v/>
      </c>
      <c r="ER55" s="123">
        <f t="shared" si="223"/>
        <v>0</v>
      </c>
      <c r="ES55" s="123">
        <f t="shared" si="224"/>
        <v>0</v>
      </c>
      <c r="ET55" s="123">
        <f t="shared" si="225"/>
        <v>0</v>
      </c>
      <c r="EU55" s="215">
        <f>IF(EQ55="",0,MAX(ER55:ES55:ET55))</f>
        <v>0</v>
      </c>
      <c r="EV55" s="216" t="str">
        <f t="shared" ref="EV55:EV73" si="297">IF(EQ55="","",IF(EQ55=$G$30,$F$30,IF(EQ55=$G$31,$F$31,IF(EQ55=$G$32,$F$32,IF(EQ55=$G$33,$F$33,IF(EQ55=$G$34,$F$34,IF(EQ55=$G$35,$F$35,IF(EQ55=$G$36,$F$36,""))))))))</f>
        <v/>
      </c>
      <c r="EW55" s="217" t="str">
        <f t="shared" ref="EW55:EW73" si="298">IF(EQ55="","",IF(EQ55=$G$37,$F$37,IF(EQ55=$G$38,$F$38,IF(EQ55=$G$39,$F$39,IF(EQ55=$G$40,$F$40,IF(EQ55=$G$41,$F$41,IF(EQ55=$G$42,$F$42,IF(EQ55=$G$43,$F$43,""))))))))</f>
        <v/>
      </c>
      <c r="EX55" s="217" t="str">
        <f t="shared" ref="EX55:EX73" si="299">IF(EQ55="","",IF(EQ55=$G$44,$F$44,IF(EQ55=$G$45,$F$45,IF(EQ55=$G$46,$F$46,IF(EQ55=$G$47,$F$47,IF(EQ55=$G$48,$F$48,IF(EQ55=$G$49,$F$49,"")))))))</f>
        <v/>
      </c>
      <c r="EY55" s="49" t="str">
        <f t="shared" si="226"/>
        <v/>
      </c>
      <c r="EZ55" s="123">
        <f t="shared" si="227"/>
        <v>0</v>
      </c>
      <c r="FA55" s="123">
        <f t="shared" si="228"/>
        <v>0</v>
      </c>
      <c r="FB55" s="123">
        <f t="shared" si="229"/>
        <v>0</v>
      </c>
      <c r="FC55" s="215">
        <f>IF(EY55="",0,MAX(EZ55:FA55:FB55))</f>
        <v>0</v>
      </c>
      <c r="FD55" s="216" t="str">
        <f t="shared" ref="FD55:FD73" si="300">IF(EY55="","",IF(EY55=$G$30,$F$30,IF(EY55=$G$31,$F$31,IF(EY55=$G$32,$F$32,IF(EY55=$G$33,$F$33,IF(EY55=$G$34,$F$34,IF(EY55=$G$35,$F$35,IF(EY55=$G$36,$F$36,""))))))))</f>
        <v/>
      </c>
      <c r="FE55" s="217" t="str">
        <f t="shared" ref="FE55:FE73" si="301">IF(EY55="","",IF(EY55=$G$37,$F$37,IF(EY55=$G$38,$F$38,IF(EY55=$G$39,$F$39,IF(EY55=$G$40,$F$40,IF(EY55=$G$41,$F$41,IF(EY55=$G$42,$F$42,IF(EY55=$G$43,$F$43,""))))))))</f>
        <v/>
      </c>
      <c r="FF55" s="217" t="str">
        <f t="shared" ref="FF55:FF73" si="302">IF(EY55="","",IF(EY55=$G$44,$F$44,IF(EY55=$G$45,$F$45,IF(EY55=$G$46,$F$46,IF(EY55=$G$47,$F$47,IF(EY55=$G$48,$F$48,IF(EY55=$G$49,$F$49,"")))))))</f>
        <v/>
      </c>
      <c r="FG55" s="49" t="str">
        <f t="shared" si="230"/>
        <v/>
      </c>
      <c r="FH55" s="123">
        <f t="shared" si="231"/>
        <v>0</v>
      </c>
      <c r="FI55" s="123">
        <f t="shared" si="232"/>
        <v>0</v>
      </c>
      <c r="FJ55" s="123">
        <f t="shared" si="233"/>
        <v>0</v>
      </c>
      <c r="FK55" s="215">
        <f>IF(FG55="",0,MAX(FH55:FI55:FJ55))</f>
        <v>0</v>
      </c>
      <c r="FL55" s="216" t="str">
        <f t="shared" ref="FL55:FL73" si="303">IF(FG55="","",IF(FG55=$G$30,$F$30,IF(FG55=$G$31,$F$31,IF(FG55=$G$32,$F$32,IF(FG55=$G$33,$F$33,IF(FG55=$G$34,$F$34,IF(FG55=$G$35,$F$35,IF(FG55=$G$36,$F$36,""))))))))</f>
        <v/>
      </c>
      <c r="FM55" s="217" t="str">
        <f t="shared" ref="FM55:FM73" si="304">IF(FG55="","",IF(FG55=$G$37,$F$37,IF(FG55=$G$38,$F$38,IF(FG55=$G$39,$F$39,IF(FG55=$G$40,$F$40,IF(FG55=$G$41,$F$41,IF(FG55=$G$42,$F$42,IF(FG55=$G$43,$F$43,""))))))))</f>
        <v/>
      </c>
      <c r="FN55" s="217" t="str">
        <f t="shared" ref="FN55:FN73" si="305">IF(FG55="","",IF(FG55=$G$44,$F$44,IF(FG55=$G$45,$F$45,IF(FG55=$G$46,$F$46,IF(FG55=$G$47,$F$47,IF(FG55=$G$48,$F$48,IF(FG55=$G$49,$F$49,"")))))))</f>
        <v/>
      </c>
      <c r="FO55" s="49" t="str">
        <f t="shared" si="234"/>
        <v/>
      </c>
      <c r="FP55" s="123">
        <f t="shared" si="235"/>
        <v>0</v>
      </c>
      <c r="FQ55" s="123">
        <f t="shared" si="236"/>
        <v>0</v>
      </c>
      <c r="FR55" s="123">
        <f t="shared" si="237"/>
        <v>0</v>
      </c>
      <c r="FS55" s="215">
        <f>IF(FO55="",0,MAX(FP55:FQ55:FR55))</f>
        <v>0</v>
      </c>
      <c r="FT55" s="216" t="str">
        <f t="shared" ref="FT55:FT73" si="306">IF(FO55="","",IF(FO55=$G$30,$F$30,IF(FO55=$G$31,$F$31,IF(FO55=$G$32,$F$32,IF(FO55=$G$33,$F$33,IF(FO55=$G$34,$F$34,IF(FO55=$G$35,$F$35,IF(FO55=$G$36,$F$36,""))))))))</f>
        <v/>
      </c>
      <c r="FU55" s="217" t="str">
        <f t="shared" ref="FU55:FU73" si="307">IF(FO55="","",IF(FO55=$G$37,$F$37,IF(FO55=$G$38,$F$38,IF(FO55=$G$39,$F$39,IF(FO55=$G$40,$F$40,IF(FO55=$G$41,$F$41,IF(FO55=$G$42,$F$42,IF(FO55=$G$43,$F$43,""))))))))</f>
        <v/>
      </c>
      <c r="FV55" s="217" t="str">
        <f t="shared" ref="FV55:FV73" si="308">IF(FO55="","",IF(FO55=$G$44,$F$44,IF(FO55=$G$45,$F$45,IF(FO55=$G$46,$F$46,IF(FO55=$G$47,$F$47,IF(FO55=$G$48,$F$48,IF(FO55=$G$49,$F$49,"")))))))</f>
        <v/>
      </c>
      <c r="FW55" s="49" t="str">
        <f t="shared" si="238"/>
        <v/>
      </c>
      <c r="FX55" s="123">
        <f t="shared" si="239"/>
        <v>0</v>
      </c>
      <c r="FY55" s="123">
        <f t="shared" si="240"/>
        <v>0</v>
      </c>
      <c r="FZ55" s="123">
        <f t="shared" si="241"/>
        <v>0</v>
      </c>
      <c r="GA55" s="215">
        <f>IF(FW55="",0,MAX(FX55:FY55:FZ55))</f>
        <v>0</v>
      </c>
      <c r="GB55" s="216" t="str">
        <f t="shared" ref="GB55:GB73" si="309">IF(FW55="","",IF(FW55=$G$30,$F$30,IF(FW55=$G$31,$F$31,IF(FW55=$G$32,$F$32,IF(FW55=$G$33,$F$33,IF(FW55=$G$34,$F$34,IF(FW55=$G$35,$F$35,IF(FW55=$G$36,$F$36,""))))))))</f>
        <v/>
      </c>
      <c r="GC55" s="217" t="str">
        <f t="shared" ref="GC55:GC73" si="310">IF(FW55="","",IF(FW55=$G$37,$F$37,IF(FW55=$G$38,$F$38,IF(FW55=$G$39,$F$39,IF(FW55=$G$40,$F$40,IF(FW55=$G$41,$F$41,IF(FW55=$G$42,$F$42,IF(FW55=$G$43,$F$43,""))))))))</f>
        <v/>
      </c>
      <c r="GD55" s="217" t="str">
        <f t="shared" ref="GD55:GD73" si="311">IF(FW55="","",IF(FW55=$G$44,$F$44,IF(FW55=$G$45,$F$45,IF(FW55=$G$46,$F$46,IF(FW55=$G$47,$F$47,IF(FW55=$G$48,$F$48,IF(FW55=$G$49,$F$49,"")))))))</f>
        <v/>
      </c>
      <c r="GE55" s="49" t="str">
        <f t="shared" si="242"/>
        <v/>
      </c>
      <c r="GF55" s="123">
        <f t="shared" si="243"/>
        <v>0</v>
      </c>
      <c r="GG55" s="123">
        <f t="shared" si="244"/>
        <v>0</v>
      </c>
      <c r="GH55" s="123">
        <f t="shared" si="245"/>
        <v>0</v>
      </c>
      <c r="GI55" s="215">
        <f>IF(GE55="",0,MAX(GF55:GG55:GH55))</f>
        <v>0</v>
      </c>
      <c r="GJ55" s="216" t="str">
        <f t="shared" ref="GJ55:GJ73" si="312">IF(GE55="","",IF(GE55=$G$30,$F$30,IF(GE55=$G$31,$F$31,IF(GE55=$G$32,$F$32,IF(GE55=$G$33,$F$33,IF(GE55=$G$34,$F$34,IF(GE55=$G$35,$F$35,IF(GE55=$G$36,$F$36,""))))))))</f>
        <v/>
      </c>
      <c r="GK55" s="217" t="str">
        <f t="shared" ref="GK55:GK73" si="313">IF(GE55="","",IF(GE55=$G$37,$F$37,IF(GE55=$G$38,$F$38,IF(GE55=$G$39,$F$39,IF(GE55=$G$40,$F$40,IF(GE55=$G$41,$F$41,IF(GE55=$G$42,$F$42,IF(GE55=$G$43,$F$43,""))))))))</f>
        <v/>
      </c>
      <c r="GL55" s="217" t="str">
        <f t="shared" ref="GL55:GL73" si="314">IF(GE55="","",IF(GE55=$G$44,$F$44,IF(GE55=$G$45,$F$45,IF(GE55=$G$46,$F$46,IF(GE55=$G$47,$F$47,IF(GE55=$G$48,$F$48,IF(GE55=$G$49,$F$49,"")))))))</f>
        <v/>
      </c>
      <c r="GM55" s="49" t="str">
        <f t="shared" si="246"/>
        <v/>
      </c>
      <c r="GN55" s="123">
        <f t="shared" si="247"/>
        <v>0</v>
      </c>
      <c r="GO55" s="123">
        <f t="shared" si="248"/>
        <v>0</v>
      </c>
      <c r="GP55" s="123">
        <f t="shared" si="249"/>
        <v>0</v>
      </c>
      <c r="GQ55" s="215">
        <f>IF(GM55="",0,MAX(GN55:GO55:GP55))</f>
        <v>0</v>
      </c>
      <c r="GR55" s="216" t="str">
        <f t="shared" ref="GR55:GR73" si="315">IF(GM55="","",IF(GM55=$G$30,$F$30,IF(GM55=$G$31,$F$31,IF(GM55=$G$32,$F$32,IF(GM55=$G$33,$F$33,IF(GM55=$G$34,$F$34,IF(GM55=$G$35,$F$35,IF(GM55=$G$36,$F$36,""))))))))</f>
        <v/>
      </c>
      <c r="GS55" s="217" t="str">
        <f t="shared" ref="GS55:GS73" si="316">IF(GM55="","",IF(GM55=$G$37,$F$37,IF(GM55=$G$38,$F$38,IF(GM55=$G$39,$F$39,IF(GM55=$G$40,$F$40,IF(GM55=$G$41,$F$41,IF(GM55=$G$42,$F$42,IF(GM55=$G$43,$F$43,""))))))))</f>
        <v/>
      </c>
      <c r="GT55" s="217" t="str">
        <f t="shared" ref="GT55:GT73" si="317">IF(GM55="","",IF(GM55=$G$44,$F$44,IF(GM55=$G$45,$F$45,IF(GM55=$G$46,$F$46,IF(GM55=$G$47,$F$47,IF(GM55=$G$48,$F$48,IF(GM55=$G$49,$F$49,"")))))))</f>
        <v/>
      </c>
      <c r="GU55" s="49" t="str">
        <f t="shared" si="250"/>
        <v/>
      </c>
      <c r="GV55" s="123">
        <f t="shared" si="251"/>
        <v>0</v>
      </c>
      <c r="GW55" s="123">
        <f t="shared" si="252"/>
        <v>0</v>
      </c>
      <c r="GX55" s="123">
        <f t="shared" si="253"/>
        <v>0</v>
      </c>
      <c r="GY55" s="215">
        <f>IF(GU55="",0,MAX(GV55:GW55:GX55))</f>
        <v>0</v>
      </c>
      <c r="GZ55" s="216" t="str">
        <f t="shared" ref="GZ55:GZ73" si="318">IF(GU55="","",IF(GU55=$G$30,$F$30,IF(GU55=$G$31,$F$31,IF(GU55=$G$32,$F$32,IF(GU55=$G$33,$F$33,IF(GU55=$G$34,$F$34,IF(GU55=$G$35,$F$35,IF(GU55=$G$36,$F$36,""))))))))</f>
        <v/>
      </c>
      <c r="HA55" s="217" t="str">
        <f t="shared" ref="HA55:HA73" si="319">IF(GU55="","",IF(GU55=$G$37,$F$37,IF(GU55=$G$38,$F$38,IF(GU55=$G$39,$F$39,IF(GU55=$G$40,$F$40,IF(GU55=$G$41,$F$41,IF(GU55=$G$42,$F$42,IF(GU55=$G$43,$F$43,""))))))))</f>
        <v/>
      </c>
      <c r="HB55" s="217" t="str">
        <f t="shared" ref="HB55:HB73" si="320">IF(GU55="","",IF(GU55=$G$44,$F$44,IF(GU55=$G$45,$F$45,IF(GU55=$G$46,$F$46,IF(GU55=$G$47,$F$47,IF(GU55=$G$48,$F$48,IF(GU55=$G$49,$F$49,"")))))))</f>
        <v/>
      </c>
      <c r="HC55" s="49" t="str">
        <f t="shared" si="254"/>
        <v/>
      </c>
      <c r="HD55" s="123">
        <f t="shared" si="255"/>
        <v>0</v>
      </c>
      <c r="HE55" s="123">
        <f t="shared" si="256"/>
        <v>0</v>
      </c>
      <c r="HF55" s="123">
        <f t="shared" si="257"/>
        <v>0</v>
      </c>
      <c r="HG55" s="215">
        <f>IF(HC55="",0,MAX(HD55:HE55:HF55))</f>
        <v>0</v>
      </c>
      <c r="HH55" s="216" t="str">
        <f t="shared" ref="HH55:HH73" si="321">IF(HC55="","",IF(HC55=$G$30,$F$30,IF(HC55=$G$31,$F$31,IF(HC55=$G$32,$F$32,IF(HC55=$G$33,$F$33,IF(HC55=$G$34,$F$34,IF(HC55=$G$35,$F$35,IF(HC55=$G$36,$F$36,""))))))))</f>
        <v/>
      </c>
      <c r="HI55" s="217" t="str">
        <f t="shared" ref="HI55:HI73" si="322">IF(HC55="","",IF(HC55=$G$37,$F$37,IF(HC55=$G$38,$F$38,IF(HC55=$G$39,$F$39,IF(HC55=$G$40,$F$40,IF(HC55=$G$41,$F$41,IF(HC55=$G$42,$F$42,IF(HC55=$G$43,$F$43,""))))))))</f>
        <v/>
      </c>
      <c r="HJ55" s="217" t="str">
        <f t="shared" ref="HJ55:HJ73" si="323">IF(HC55="","",IF(HC55=$G$44,$F$44,IF(HC55=$G$45,$F$45,IF(HC55=$G$46,$F$46,IF(HC55=$G$47,$F$47,IF(HC55=$G$48,$F$48,IF(HC55=$G$49,$F$49,"")))))))</f>
        <v/>
      </c>
      <c r="HK55" s="49" t="str">
        <f t="shared" si="258"/>
        <v/>
      </c>
      <c r="HL55" s="123">
        <f t="shared" si="259"/>
        <v>0</v>
      </c>
      <c r="HM55" s="123">
        <f t="shared" si="260"/>
        <v>0</v>
      </c>
      <c r="HN55" s="123">
        <f t="shared" si="261"/>
        <v>0</v>
      </c>
      <c r="HO55" s="215">
        <f>IF(HK55="",0,MAX(HL55:HM55:HN55))</f>
        <v>0</v>
      </c>
      <c r="HP55" s="216" t="str">
        <f t="shared" ref="HP55:HP73" si="324">IF(HK55="","",IF(HK55=$G$30,$F$30,IF(HK55=$G$31,$F$31,IF(HK55=$G$32,$F$32,IF(HK55=$G$33,$F$33,IF(HK55=$G$34,$F$34,IF(HK55=$G$35,$F$35,IF(HK55=$G$36,$F$36,""))))))))</f>
        <v/>
      </c>
      <c r="HQ55" s="217" t="str">
        <f t="shared" ref="HQ55:HQ73" si="325">IF(HK55="","",IF(HK55=$G$37,$F$37,IF(HK55=$G$38,$F$38,IF(HK55=$G$39,$F$39,IF(HK55=$G$40,$F$40,IF(HK55=$G$41,$F$41,IF(HK55=$G$42,$F$42,IF(HK55=$G$43,$F$43,""))))))))</f>
        <v/>
      </c>
      <c r="HR55" s="217" t="str">
        <f t="shared" ref="HR55:HR73" si="326">IF(HK55="","",IF(HK55=$G$44,$F$44,IF(HK55=$G$45,$F$45,IF(HK55=$G$46,$F$46,IF(HK55=$G$47,$F$47,IF(HK55=$G$48,$F$48,IF(HK55=$G$49,$F$49,"")))))))</f>
        <v/>
      </c>
      <c r="HS55" s="49" t="str">
        <f t="shared" si="262"/>
        <v/>
      </c>
      <c r="HT55" s="123">
        <f t="shared" si="263"/>
        <v>0</v>
      </c>
      <c r="HU55" s="123">
        <f t="shared" si="264"/>
        <v>0</v>
      </c>
      <c r="HV55" s="123">
        <f t="shared" si="265"/>
        <v>0</v>
      </c>
      <c r="HW55" s="215">
        <f>IF(HS55="",0,MAX(HT55:HU55:HV55))</f>
        <v>0</v>
      </c>
      <c r="HX55" s="216" t="str">
        <f t="shared" ref="HX55:HX73" si="327">IF(HS55="","",IF(HS55=$G$30,$F$30,IF(HS55=$G$31,$F$31,IF(HS55=$G$32,$F$32,IF(HS55=$G$33,$F$33,IF(HS55=$G$34,$F$34,IF(HS55=$G$35,$F$35,IF(HS55=$G$36,$F$36,""))))))))</f>
        <v/>
      </c>
      <c r="HY55" s="217" t="str">
        <f t="shared" ref="HY55:HY73" si="328">IF(HS55="","",IF(HS55=$G$37,$F$37,IF(HS55=$G$38,$F$38,IF(HS55=$G$39,$F$39,IF(HS55=$G$40,$F$40,IF(HS55=$G$41,$F$41,IF(HS55=$G$42,$F$42,IF(HS55=$G$43,$F$43,""))))))))</f>
        <v/>
      </c>
      <c r="HZ55" s="217" t="str">
        <f t="shared" ref="HZ55:HZ73" si="329">IF(HS55="","",IF(HS55=$G$44,$F$44,IF(HS55=$G$45,$F$45,IF(HS55=$G$46,$F$46,IF(HS55=$G$47,$F$47,IF(HS55=$G$48,$F$48,IF(HS55=$G$49,$F$49,"")))))))</f>
        <v/>
      </c>
      <c r="IA55" s="49" t="str">
        <f t="shared" si="266"/>
        <v/>
      </c>
      <c r="IB55" s="123">
        <f t="shared" si="267"/>
        <v>0</v>
      </c>
      <c r="IC55" s="123">
        <f t="shared" si="268"/>
        <v>0</v>
      </c>
      <c r="ID55" s="123">
        <f t="shared" si="269"/>
        <v>0</v>
      </c>
      <c r="IE55" s="215">
        <f>IF(IA55="",0,MAX(IB55:IC55:ID55))</f>
        <v>0</v>
      </c>
      <c r="IF55" s="216" t="str">
        <f t="shared" ref="IF55:IF73" si="330">IF(IA55="","",IF(IA55=$G$30,$F$30,IF(IA55=$G$31,$F$31,IF(IA55=$G$32,$F$32,IF(IA55=$G$33,$F$33,IF(IA55=$G$34,$F$34,IF(IA55=$G$35,$F$35,IF(IA55=$G$36,$F$36,""))))))))</f>
        <v/>
      </c>
      <c r="IG55" s="217" t="str">
        <f t="shared" ref="IG55:IG73" si="331">IF(IA55="","",IF(IA55=$G$37,$F$37,IF(IA55=$G$38,$F$38,IF(IA55=$G$39,$F$39,IF(IA55=$G$40,$F$40,IF(IA55=$G$41,$F$41,IF(IA55=$G$42,$F$42,IF(IA55=$G$43,$F$43,""))))))))</f>
        <v/>
      </c>
      <c r="IH55" s="217" t="str">
        <f t="shared" ref="IH55:IH73" si="332">IF(IA55="","",IF(IA55=$G$44,$F$44,IF(IA55=$G$45,$F$45,IF(IA55=$G$46,$F$46,IF(IA55=$G$47,$F$47,IF(IA55=$G$48,$F$48,IF(IA55=$G$49,$F$49,"")))))))</f>
        <v/>
      </c>
      <c r="II55" s="49" t="str">
        <f t="shared" si="270"/>
        <v/>
      </c>
      <c r="IJ55" s="123">
        <f t="shared" si="271"/>
        <v>0</v>
      </c>
      <c r="IK55" s="123">
        <f t="shared" si="272"/>
        <v>0</v>
      </c>
      <c r="IL55" s="123">
        <f t="shared" si="273"/>
        <v>0</v>
      </c>
      <c r="IM55" s="215">
        <f>IF(II55="",0,MAX(IJ55:IK55:IL55))</f>
        <v>0</v>
      </c>
      <c r="IN55" s="216" t="str">
        <f t="shared" ref="IN55:IN73" si="333">IF(II55="","",IF(II55=$G$30,$F$30,IF(II55=$G$31,$F$31,IF(II55=$G$32,$F$32,IF(II55=$G$33,$F$33,IF(II55=$G$34,$F$34,IF(II55=$G$35,$F$35,IF(II55=$G$36,$F$36,""))))))))</f>
        <v/>
      </c>
      <c r="IO55" s="217" t="str">
        <f t="shared" ref="IO55:IO73" si="334">IF(II55="","",IF(II55=$G$37,$F$37,IF(II55=$G$38,$F$38,IF(II55=$G$39,$F$39,IF(II55=$G$40,$F$40,IF(II55=$G$41,$F$41,IF(II55=$G$42,$F$42,IF(II55=$G$43,$F$43,""))))))))</f>
        <v/>
      </c>
      <c r="IP55" s="217" t="str">
        <f t="shared" ref="IP55:IP73" si="335">IF(II55="","",IF(II55=$G$44,$F$44,IF(II55=$G$45,$F$45,IF(II55=$G$46,$F$46,IF(II55=$G$47,$F$47,IF(II55=$G$48,$F$48,IF(II55=$G$49,$F$49,"")))))))</f>
        <v/>
      </c>
      <c r="IQ55" s="49" t="str">
        <f t="shared" si="274"/>
        <v/>
      </c>
      <c r="IR55" s="123">
        <f t="shared" si="275"/>
        <v>0</v>
      </c>
      <c r="IS55" s="123">
        <f t="shared" si="276"/>
        <v>0</v>
      </c>
      <c r="IT55" s="123">
        <f t="shared" si="277"/>
        <v>0</v>
      </c>
      <c r="IU55" s="215">
        <f>IF(IQ55="",0,MAX(IR55:IS55:IT55))</f>
        <v>0</v>
      </c>
    </row>
    <row r="56" spans="1:255" ht="13.3" thickTop="1" thickBot="1" x14ac:dyDescent="0.35">
      <c r="D56" s="22"/>
      <c r="F56" s="168"/>
      <c r="U56" s="1190" t="e">
        <f>IF(AND(SUM(M13:M21)&lt;&gt;"",SUM(#REF!)&lt;&gt;""),"Indique o nº total de fogos correspondentes à 1ª Instalação Individual.",0)</f>
        <v>#REF!</v>
      </c>
      <c r="W56" s="315" t="str">
        <f t="shared" si="194"/>
        <v/>
      </c>
      <c r="X56" s="21"/>
      <c r="Y56" s="21"/>
      <c r="Z56" s="511" t="str">
        <f t="shared" si="195"/>
        <v/>
      </c>
      <c r="AA56" s="1135" t="str">
        <f t="shared" si="196"/>
        <v/>
      </c>
      <c r="AB56" s="1137"/>
      <c r="AC56" s="1136"/>
      <c r="AG56" s="67"/>
      <c r="AV56" s="345" t="str">
        <f>IF(AND(H30="",I30=""),"",H30+I30)</f>
        <v/>
      </c>
      <c r="AW56" s="274" t="str">
        <f t="shared" si="197"/>
        <v/>
      </c>
      <c r="AX56" s="274" t="str">
        <f t="shared" si="198"/>
        <v/>
      </c>
      <c r="AY56" s="275" t="str">
        <f t="shared" si="199"/>
        <v/>
      </c>
      <c r="AZ56" s="284"/>
      <c r="BA56" s="275" t="str">
        <f>IF($AY55="","",IF(AND($BB56&lt;&gt;"",$BB56&gt;$AY55),$BB56,IF(AND($BB57&lt;&gt;"",$BB57&gt;$AY55),$BB57,IF(AND($BB58&lt;&gt;"",$BB58&gt;$AY55),$BB58,IF(AND($BB59&lt;&gt;"",$BB59&gt;$AY55),$BB59,"")))))</f>
        <v/>
      </c>
      <c r="BB56" s="275" t="str">
        <f t="shared" si="200"/>
        <v/>
      </c>
      <c r="BC56" s="279" t="s">
        <v>250</v>
      </c>
      <c r="BD56" s="275">
        <v>1</v>
      </c>
      <c r="BE56" s="280">
        <f>BI55</f>
        <v>0</v>
      </c>
      <c r="BF56" s="345">
        <f t="shared" ref="BF56:BF75" si="336">IF(AQ30="",1,AQ30)</f>
        <v>1</v>
      </c>
      <c r="BG56" s="347" t="str">
        <f t="shared" ref="BG56:BG75" si="337">IF($W30=$BG$54,$J30*$BF56,"")</f>
        <v/>
      </c>
      <c r="BH56" s="347" t="str">
        <f t="shared" ref="BH56:BH75" si="338">IF($W30=$BH$54,$J30*$BF56,"")</f>
        <v/>
      </c>
      <c r="BI56" s="347" t="str">
        <f t="shared" ref="BI56:BI75" si="339">IF($W30=$BI$54,$J30*$BF56,"")</f>
        <v/>
      </c>
      <c r="BJ56" s="347" t="str">
        <f t="shared" ref="BJ56:BJ75" si="340">IF($W30=$BJ$54,$J30*$BF56,"")</f>
        <v/>
      </c>
      <c r="BK56" s="347" t="str">
        <f t="shared" ref="BK56:BK75" si="341">IF($W30=$BK$54,$J30*$BF56,"")</f>
        <v/>
      </c>
      <c r="BL56" s="347" t="str">
        <f t="shared" ref="BL56:BL75" si="342">IF($W30=$BL$54,$J30*$BF56,"")</f>
        <v/>
      </c>
      <c r="BN56" s="67"/>
      <c r="BO56" s="67"/>
      <c r="CW56" s="209" t="str">
        <f t="shared" ref="CW56:CW73" si="343">IF(OR(CY56="",CY56=0),"",IF(CY56=$CY$53,"Crítico",""))</f>
        <v/>
      </c>
      <c r="CX56" s="204" t="str">
        <f t="shared" si="201"/>
        <v/>
      </c>
      <c r="CY56" s="43">
        <f t="shared" si="279"/>
        <v>0</v>
      </c>
      <c r="CZ56" s="214">
        <f t="shared" ref="CZ56:CZ73" si="344">F32</f>
        <v>0</v>
      </c>
      <c r="DA56" s="45">
        <f t="shared" si="280"/>
        <v>0</v>
      </c>
      <c r="DB56" s="46">
        <f t="shared" si="202"/>
        <v>0</v>
      </c>
      <c r="DC56" s="47" t="str">
        <f t="shared" si="281"/>
        <v/>
      </c>
      <c r="DD56" s="123">
        <f t="shared" si="203"/>
        <v>0</v>
      </c>
      <c r="DE56" s="123">
        <f t="shared" si="204"/>
        <v>0</v>
      </c>
      <c r="DF56" s="123">
        <f t="shared" si="205"/>
        <v>0</v>
      </c>
      <c r="DG56" s="215">
        <f>IF(DC56="",0,MAX(DD56:DE56:DF56))</f>
        <v>0</v>
      </c>
      <c r="DH56" s="216" t="str">
        <f t="shared" si="282"/>
        <v/>
      </c>
      <c r="DI56" s="217" t="str">
        <f t="shared" si="283"/>
        <v/>
      </c>
      <c r="DJ56" s="217" t="str">
        <f t="shared" si="284"/>
        <v/>
      </c>
      <c r="DK56" s="49" t="str">
        <f t="shared" si="206"/>
        <v/>
      </c>
      <c r="DL56" s="123">
        <f t="shared" si="207"/>
        <v>0</v>
      </c>
      <c r="DM56" s="123">
        <f t="shared" si="208"/>
        <v>0</v>
      </c>
      <c r="DN56" s="123">
        <f t="shared" si="209"/>
        <v>0</v>
      </c>
      <c r="DO56" s="215">
        <f>IF(DK56="",0,MAX(DL56:DM56:DN56))</f>
        <v>0</v>
      </c>
      <c r="DP56" s="216" t="str">
        <f t="shared" si="285"/>
        <v/>
      </c>
      <c r="DQ56" s="217" t="str">
        <f t="shared" si="286"/>
        <v/>
      </c>
      <c r="DR56" s="217" t="str">
        <f t="shared" si="287"/>
        <v/>
      </c>
      <c r="DS56" s="49" t="str">
        <f t="shared" si="210"/>
        <v/>
      </c>
      <c r="DT56" s="123">
        <f t="shared" si="211"/>
        <v>0</v>
      </c>
      <c r="DU56" s="123">
        <f t="shared" si="212"/>
        <v>0</v>
      </c>
      <c r="DV56" s="123">
        <f t="shared" si="213"/>
        <v>0</v>
      </c>
      <c r="DW56" s="215">
        <f>IF(DS56="",0,MAX(DT56:DU56:DV56))</f>
        <v>0</v>
      </c>
      <c r="DX56" s="216" t="str">
        <f t="shared" si="288"/>
        <v/>
      </c>
      <c r="DY56" s="217" t="str">
        <f t="shared" si="289"/>
        <v/>
      </c>
      <c r="DZ56" s="217" t="str">
        <f t="shared" si="290"/>
        <v/>
      </c>
      <c r="EA56" s="49" t="str">
        <f t="shared" si="214"/>
        <v/>
      </c>
      <c r="EB56" s="123">
        <f t="shared" si="215"/>
        <v>0</v>
      </c>
      <c r="EC56" s="123">
        <f t="shared" si="216"/>
        <v>0</v>
      </c>
      <c r="ED56" s="123">
        <f t="shared" si="217"/>
        <v>0</v>
      </c>
      <c r="EE56" s="215">
        <f>IF(EA56="",0,MAX(EB56:EC56:ED56))</f>
        <v>0</v>
      </c>
      <c r="EF56" s="216" t="str">
        <f t="shared" si="291"/>
        <v/>
      </c>
      <c r="EG56" s="217" t="str">
        <f t="shared" si="292"/>
        <v/>
      </c>
      <c r="EH56" s="217" t="str">
        <f t="shared" si="293"/>
        <v/>
      </c>
      <c r="EI56" s="49" t="str">
        <f t="shared" si="218"/>
        <v/>
      </c>
      <c r="EJ56" s="123">
        <f t="shared" si="219"/>
        <v>0</v>
      </c>
      <c r="EK56" s="123">
        <f t="shared" si="220"/>
        <v>0</v>
      </c>
      <c r="EL56" s="123">
        <f t="shared" si="221"/>
        <v>0</v>
      </c>
      <c r="EM56" s="215">
        <f>IF(EI56="",0,MAX(EJ56:EK56:EL56))</f>
        <v>0</v>
      </c>
      <c r="EN56" s="216" t="str">
        <f t="shared" si="294"/>
        <v/>
      </c>
      <c r="EO56" s="217" t="str">
        <f t="shared" si="295"/>
        <v/>
      </c>
      <c r="EP56" s="217" t="str">
        <f t="shared" si="296"/>
        <v/>
      </c>
      <c r="EQ56" s="49" t="str">
        <f t="shared" si="222"/>
        <v/>
      </c>
      <c r="ER56" s="123">
        <f t="shared" si="223"/>
        <v>0</v>
      </c>
      <c r="ES56" s="123">
        <f t="shared" si="224"/>
        <v>0</v>
      </c>
      <c r="ET56" s="123">
        <f t="shared" si="225"/>
        <v>0</v>
      </c>
      <c r="EU56" s="215">
        <f>IF(EQ56="",0,MAX(ER56:ES56:ET56))</f>
        <v>0</v>
      </c>
      <c r="EV56" s="216" t="str">
        <f t="shared" si="297"/>
        <v/>
      </c>
      <c r="EW56" s="217" t="str">
        <f t="shared" si="298"/>
        <v/>
      </c>
      <c r="EX56" s="217" t="str">
        <f t="shared" si="299"/>
        <v/>
      </c>
      <c r="EY56" s="49" t="str">
        <f t="shared" si="226"/>
        <v/>
      </c>
      <c r="EZ56" s="123">
        <f t="shared" si="227"/>
        <v>0</v>
      </c>
      <c r="FA56" s="123">
        <f t="shared" si="228"/>
        <v>0</v>
      </c>
      <c r="FB56" s="123">
        <f t="shared" si="229"/>
        <v>0</v>
      </c>
      <c r="FC56" s="215">
        <f>IF(EY56="",0,MAX(EZ56:FA56:FB56))</f>
        <v>0</v>
      </c>
      <c r="FD56" s="216" t="str">
        <f t="shared" si="300"/>
        <v/>
      </c>
      <c r="FE56" s="217" t="str">
        <f t="shared" si="301"/>
        <v/>
      </c>
      <c r="FF56" s="217" t="str">
        <f t="shared" si="302"/>
        <v/>
      </c>
      <c r="FG56" s="49" t="str">
        <f t="shared" si="230"/>
        <v/>
      </c>
      <c r="FH56" s="123">
        <f t="shared" si="231"/>
        <v>0</v>
      </c>
      <c r="FI56" s="123">
        <f t="shared" si="232"/>
        <v>0</v>
      </c>
      <c r="FJ56" s="123">
        <f t="shared" si="233"/>
        <v>0</v>
      </c>
      <c r="FK56" s="215">
        <f>IF(FG56="",0,MAX(FH56:FI56:FJ56))</f>
        <v>0</v>
      </c>
      <c r="FL56" s="216" t="str">
        <f t="shared" si="303"/>
        <v/>
      </c>
      <c r="FM56" s="217" t="str">
        <f t="shared" si="304"/>
        <v/>
      </c>
      <c r="FN56" s="217" t="str">
        <f t="shared" si="305"/>
        <v/>
      </c>
      <c r="FO56" s="49" t="str">
        <f t="shared" si="234"/>
        <v/>
      </c>
      <c r="FP56" s="123">
        <f t="shared" si="235"/>
        <v>0</v>
      </c>
      <c r="FQ56" s="123">
        <f t="shared" si="236"/>
        <v>0</v>
      </c>
      <c r="FR56" s="123">
        <f t="shared" si="237"/>
        <v>0</v>
      </c>
      <c r="FS56" s="215">
        <f>IF(FO56="",0,MAX(FP56:FQ56:FR56))</f>
        <v>0</v>
      </c>
      <c r="FT56" s="216" t="str">
        <f t="shared" si="306"/>
        <v/>
      </c>
      <c r="FU56" s="217" t="str">
        <f t="shared" si="307"/>
        <v/>
      </c>
      <c r="FV56" s="217" t="str">
        <f t="shared" si="308"/>
        <v/>
      </c>
      <c r="FW56" s="49" t="str">
        <f t="shared" si="238"/>
        <v/>
      </c>
      <c r="FX56" s="123">
        <f t="shared" si="239"/>
        <v>0</v>
      </c>
      <c r="FY56" s="123">
        <f t="shared" si="240"/>
        <v>0</v>
      </c>
      <c r="FZ56" s="123">
        <f t="shared" si="241"/>
        <v>0</v>
      </c>
      <c r="GA56" s="215">
        <f>IF(FW56="",0,MAX(FX56:FY56:FZ56))</f>
        <v>0</v>
      </c>
      <c r="GB56" s="216" t="str">
        <f t="shared" si="309"/>
        <v/>
      </c>
      <c r="GC56" s="217" t="str">
        <f t="shared" si="310"/>
        <v/>
      </c>
      <c r="GD56" s="217" t="str">
        <f t="shared" si="311"/>
        <v/>
      </c>
      <c r="GE56" s="49" t="str">
        <f t="shared" si="242"/>
        <v/>
      </c>
      <c r="GF56" s="123">
        <f t="shared" si="243"/>
        <v>0</v>
      </c>
      <c r="GG56" s="123">
        <f t="shared" si="244"/>
        <v>0</v>
      </c>
      <c r="GH56" s="123">
        <f t="shared" si="245"/>
        <v>0</v>
      </c>
      <c r="GI56" s="215">
        <f>IF(GE56="",0,MAX(GF56:GG56:GH56))</f>
        <v>0</v>
      </c>
      <c r="GJ56" s="216" t="str">
        <f t="shared" si="312"/>
        <v/>
      </c>
      <c r="GK56" s="217" t="str">
        <f t="shared" si="313"/>
        <v/>
      </c>
      <c r="GL56" s="217" t="str">
        <f t="shared" si="314"/>
        <v/>
      </c>
      <c r="GM56" s="49" t="str">
        <f t="shared" si="246"/>
        <v/>
      </c>
      <c r="GN56" s="123">
        <f t="shared" si="247"/>
        <v>0</v>
      </c>
      <c r="GO56" s="123">
        <f t="shared" si="248"/>
        <v>0</v>
      </c>
      <c r="GP56" s="123">
        <f t="shared" si="249"/>
        <v>0</v>
      </c>
      <c r="GQ56" s="215">
        <f>IF(GM56="",0,MAX(GN56:GO56:GP56))</f>
        <v>0</v>
      </c>
      <c r="GR56" s="216" t="str">
        <f t="shared" si="315"/>
        <v/>
      </c>
      <c r="GS56" s="217" t="str">
        <f t="shared" si="316"/>
        <v/>
      </c>
      <c r="GT56" s="217" t="str">
        <f t="shared" si="317"/>
        <v/>
      </c>
      <c r="GU56" s="49" t="str">
        <f t="shared" si="250"/>
        <v/>
      </c>
      <c r="GV56" s="123">
        <f t="shared" si="251"/>
        <v>0</v>
      </c>
      <c r="GW56" s="123">
        <f t="shared" si="252"/>
        <v>0</v>
      </c>
      <c r="GX56" s="123">
        <f t="shared" si="253"/>
        <v>0</v>
      </c>
      <c r="GY56" s="215">
        <f>IF(GU56="",0,MAX(GV56:GW56:GX56))</f>
        <v>0</v>
      </c>
      <c r="GZ56" s="216" t="str">
        <f t="shared" si="318"/>
        <v/>
      </c>
      <c r="HA56" s="217" t="str">
        <f t="shared" si="319"/>
        <v/>
      </c>
      <c r="HB56" s="217" t="str">
        <f t="shared" si="320"/>
        <v/>
      </c>
      <c r="HC56" s="49" t="str">
        <f t="shared" si="254"/>
        <v/>
      </c>
      <c r="HD56" s="123">
        <f t="shared" si="255"/>
        <v>0</v>
      </c>
      <c r="HE56" s="123">
        <f t="shared" si="256"/>
        <v>0</v>
      </c>
      <c r="HF56" s="123">
        <f t="shared" si="257"/>
        <v>0</v>
      </c>
      <c r="HG56" s="215">
        <f>IF(HC56="",0,MAX(HD56:HE56:HF56))</f>
        <v>0</v>
      </c>
      <c r="HH56" s="216" t="str">
        <f t="shared" si="321"/>
        <v/>
      </c>
      <c r="HI56" s="217" t="str">
        <f t="shared" si="322"/>
        <v/>
      </c>
      <c r="HJ56" s="217" t="str">
        <f t="shared" si="323"/>
        <v/>
      </c>
      <c r="HK56" s="49" t="str">
        <f t="shared" si="258"/>
        <v/>
      </c>
      <c r="HL56" s="123">
        <f t="shared" si="259"/>
        <v>0</v>
      </c>
      <c r="HM56" s="123">
        <f t="shared" si="260"/>
        <v>0</v>
      </c>
      <c r="HN56" s="123">
        <f t="shared" si="261"/>
        <v>0</v>
      </c>
      <c r="HO56" s="215">
        <f>IF(HK56="",0,MAX(HL56:HM56:HN56))</f>
        <v>0</v>
      </c>
      <c r="HP56" s="216" t="str">
        <f t="shared" si="324"/>
        <v/>
      </c>
      <c r="HQ56" s="217" t="str">
        <f t="shared" si="325"/>
        <v/>
      </c>
      <c r="HR56" s="217" t="str">
        <f t="shared" si="326"/>
        <v/>
      </c>
      <c r="HS56" s="49" t="str">
        <f t="shared" si="262"/>
        <v/>
      </c>
      <c r="HT56" s="123">
        <f t="shared" si="263"/>
        <v>0</v>
      </c>
      <c r="HU56" s="123">
        <f t="shared" si="264"/>
        <v>0</v>
      </c>
      <c r="HV56" s="123">
        <f t="shared" si="265"/>
        <v>0</v>
      </c>
      <c r="HW56" s="215">
        <f>IF(HS56="",0,MAX(HT56:HU56:HV56))</f>
        <v>0</v>
      </c>
      <c r="HX56" s="216" t="str">
        <f t="shared" si="327"/>
        <v/>
      </c>
      <c r="HY56" s="217" t="str">
        <f t="shared" si="328"/>
        <v/>
      </c>
      <c r="HZ56" s="217" t="str">
        <f t="shared" si="329"/>
        <v/>
      </c>
      <c r="IA56" s="49" t="str">
        <f t="shared" si="266"/>
        <v/>
      </c>
      <c r="IB56" s="123">
        <f t="shared" si="267"/>
        <v>0</v>
      </c>
      <c r="IC56" s="123">
        <f t="shared" si="268"/>
        <v>0</v>
      </c>
      <c r="ID56" s="123">
        <f t="shared" si="269"/>
        <v>0</v>
      </c>
      <c r="IE56" s="215">
        <f>IF(IA56="",0,MAX(IB56:IC56:ID56))</f>
        <v>0</v>
      </c>
      <c r="IF56" s="216" t="str">
        <f t="shared" si="330"/>
        <v/>
      </c>
      <c r="IG56" s="217" t="str">
        <f t="shared" si="331"/>
        <v/>
      </c>
      <c r="IH56" s="217" t="str">
        <f t="shared" si="332"/>
        <v/>
      </c>
      <c r="II56" s="49" t="str">
        <f t="shared" si="270"/>
        <v/>
      </c>
      <c r="IJ56" s="123">
        <f t="shared" si="271"/>
        <v>0</v>
      </c>
      <c r="IK56" s="123">
        <f t="shared" si="272"/>
        <v>0</v>
      </c>
      <c r="IL56" s="123">
        <f t="shared" si="273"/>
        <v>0</v>
      </c>
      <c r="IM56" s="215">
        <f>IF(II56="",0,MAX(IJ56:IK56:IL56))</f>
        <v>0</v>
      </c>
      <c r="IN56" s="216" t="str">
        <f t="shared" si="333"/>
        <v/>
      </c>
      <c r="IO56" s="217" t="str">
        <f t="shared" si="334"/>
        <v/>
      </c>
      <c r="IP56" s="217" t="str">
        <f t="shared" si="335"/>
        <v/>
      </c>
      <c r="IQ56" s="49" t="str">
        <f t="shared" si="274"/>
        <v/>
      </c>
      <c r="IR56" s="123">
        <f t="shared" si="275"/>
        <v>0</v>
      </c>
      <c r="IS56" s="123">
        <f t="shared" si="276"/>
        <v>0</v>
      </c>
      <c r="IT56" s="123">
        <f t="shared" si="277"/>
        <v>0</v>
      </c>
      <c r="IU56" s="215">
        <f>IF(IQ56="",0,MAX(IR56:IS56:IT56))</f>
        <v>0</v>
      </c>
    </row>
    <row r="57" spans="1:255" ht="9" customHeight="1" thickTop="1" thickBot="1" x14ac:dyDescent="0.35">
      <c r="D57" s="22"/>
      <c r="AC57" s="303"/>
      <c r="AI57" s="166"/>
      <c r="AJ57" s="166"/>
      <c r="AK57" s="166"/>
      <c r="AL57" s="166"/>
      <c r="AV57" s="345" t="str">
        <f t="shared" ref="AV57:AV75" si="345">IF(AND(H31="",I31=""),"",H31+I31)</f>
        <v/>
      </c>
      <c r="AW57" s="274" t="str">
        <f t="shared" si="197"/>
        <v/>
      </c>
      <c r="AX57" s="274" t="str">
        <f t="shared" si="198"/>
        <v/>
      </c>
      <c r="AY57" s="275" t="str">
        <f t="shared" si="199"/>
        <v/>
      </c>
      <c r="AZ57" s="284"/>
      <c r="BA57" s="275" t="str">
        <f>IF($AY56="","",IF(AND($BB57&lt;&gt;"",$BB57&gt;$AY56),$BB57,IF(AND($BB58&lt;&gt;"",$BB58&gt;$AY56),$BB58,IF(AND($BB59&lt;&gt;"",$BB59&gt;$AY56),$BB59,""))))</f>
        <v/>
      </c>
      <c r="BB57" s="275" t="str">
        <f t="shared" si="200"/>
        <v/>
      </c>
      <c r="BC57" s="279" t="s">
        <v>251</v>
      </c>
      <c r="BD57" s="275">
        <v>1.25</v>
      </c>
      <c r="BE57" s="280">
        <f>BJ55</f>
        <v>0</v>
      </c>
      <c r="BF57" s="345">
        <f t="shared" si="336"/>
        <v>1</v>
      </c>
      <c r="BG57" s="347" t="str">
        <f t="shared" si="337"/>
        <v/>
      </c>
      <c r="BH57" s="347" t="str">
        <f t="shared" si="338"/>
        <v/>
      </c>
      <c r="BI57" s="347" t="str">
        <f t="shared" si="339"/>
        <v/>
      </c>
      <c r="BJ57" s="347" t="str">
        <f t="shared" si="340"/>
        <v/>
      </c>
      <c r="BK57" s="347" t="str">
        <f t="shared" si="341"/>
        <v/>
      </c>
      <c r="BL57" s="347" t="str">
        <f t="shared" si="342"/>
        <v/>
      </c>
      <c r="BN57" s="67"/>
      <c r="BO57" s="67"/>
      <c r="CW57" s="209" t="str">
        <f t="shared" si="343"/>
        <v/>
      </c>
      <c r="CX57" s="204" t="str">
        <f t="shared" si="201"/>
        <v/>
      </c>
      <c r="CY57" s="43">
        <f t="shared" si="279"/>
        <v>0</v>
      </c>
      <c r="CZ57" s="214">
        <f t="shared" si="344"/>
        <v>0</v>
      </c>
      <c r="DA57" s="45">
        <f t="shared" si="280"/>
        <v>0</v>
      </c>
      <c r="DB57" s="46">
        <f t="shared" si="202"/>
        <v>0</v>
      </c>
      <c r="DC57" s="47" t="str">
        <f t="shared" si="281"/>
        <v/>
      </c>
      <c r="DD57" s="123">
        <f t="shared" si="203"/>
        <v>0</v>
      </c>
      <c r="DE57" s="123">
        <f t="shared" si="204"/>
        <v>0</v>
      </c>
      <c r="DF57" s="123">
        <f t="shared" si="205"/>
        <v>0</v>
      </c>
      <c r="DG57" s="215">
        <f>IF(DC57="",0,MAX(DD57:DE57:DF57))</f>
        <v>0</v>
      </c>
      <c r="DH57" s="216" t="str">
        <f t="shared" si="282"/>
        <v/>
      </c>
      <c r="DI57" s="217" t="str">
        <f t="shared" si="283"/>
        <v/>
      </c>
      <c r="DJ57" s="217" t="str">
        <f t="shared" si="284"/>
        <v/>
      </c>
      <c r="DK57" s="49" t="str">
        <f t="shared" si="206"/>
        <v/>
      </c>
      <c r="DL57" s="123">
        <f t="shared" si="207"/>
        <v>0</v>
      </c>
      <c r="DM57" s="123">
        <f t="shared" si="208"/>
        <v>0</v>
      </c>
      <c r="DN57" s="123">
        <f t="shared" si="209"/>
        <v>0</v>
      </c>
      <c r="DO57" s="215">
        <f>IF(DK57="",0,MAX(DL57:DM57:DN57))</f>
        <v>0</v>
      </c>
      <c r="DP57" s="216" t="str">
        <f t="shared" si="285"/>
        <v/>
      </c>
      <c r="DQ57" s="217" t="str">
        <f t="shared" si="286"/>
        <v/>
      </c>
      <c r="DR57" s="217" t="str">
        <f t="shared" si="287"/>
        <v/>
      </c>
      <c r="DS57" s="49" t="str">
        <f t="shared" si="210"/>
        <v/>
      </c>
      <c r="DT57" s="123">
        <f t="shared" si="211"/>
        <v>0</v>
      </c>
      <c r="DU57" s="123">
        <f t="shared" si="212"/>
        <v>0</v>
      </c>
      <c r="DV57" s="123">
        <f t="shared" si="213"/>
        <v>0</v>
      </c>
      <c r="DW57" s="215">
        <f>IF(DS57="",0,MAX(DT57:DU57:DV57))</f>
        <v>0</v>
      </c>
      <c r="DX57" s="216" t="str">
        <f t="shared" si="288"/>
        <v/>
      </c>
      <c r="DY57" s="217" t="str">
        <f t="shared" si="289"/>
        <v/>
      </c>
      <c r="DZ57" s="217" t="str">
        <f t="shared" si="290"/>
        <v/>
      </c>
      <c r="EA57" s="49" t="str">
        <f t="shared" si="214"/>
        <v/>
      </c>
      <c r="EB57" s="123">
        <f t="shared" si="215"/>
        <v>0</v>
      </c>
      <c r="EC57" s="123">
        <f t="shared" si="216"/>
        <v>0</v>
      </c>
      <c r="ED57" s="123">
        <f t="shared" si="217"/>
        <v>0</v>
      </c>
      <c r="EE57" s="215">
        <f>IF(EA57="",0,MAX(EB57:EC57:ED57))</f>
        <v>0</v>
      </c>
      <c r="EF57" s="216" t="str">
        <f t="shared" si="291"/>
        <v/>
      </c>
      <c r="EG57" s="217" t="str">
        <f t="shared" si="292"/>
        <v/>
      </c>
      <c r="EH57" s="217" t="str">
        <f t="shared" si="293"/>
        <v/>
      </c>
      <c r="EI57" s="49" t="str">
        <f t="shared" si="218"/>
        <v/>
      </c>
      <c r="EJ57" s="123">
        <f t="shared" si="219"/>
        <v>0</v>
      </c>
      <c r="EK57" s="123">
        <f t="shared" si="220"/>
        <v>0</v>
      </c>
      <c r="EL57" s="123">
        <f t="shared" si="221"/>
        <v>0</v>
      </c>
      <c r="EM57" s="215">
        <f>IF(EI57="",0,MAX(EJ57:EK57:EL57))</f>
        <v>0</v>
      </c>
      <c r="EN57" s="216" t="str">
        <f t="shared" si="294"/>
        <v/>
      </c>
      <c r="EO57" s="217" t="str">
        <f t="shared" si="295"/>
        <v/>
      </c>
      <c r="EP57" s="217" t="str">
        <f t="shared" si="296"/>
        <v/>
      </c>
      <c r="EQ57" s="49" t="str">
        <f t="shared" si="222"/>
        <v/>
      </c>
      <c r="ER57" s="123">
        <f t="shared" si="223"/>
        <v>0</v>
      </c>
      <c r="ES57" s="123">
        <f t="shared" si="224"/>
        <v>0</v>
      </c>
      <c r="ET57" s="123">
        <f t="shared" si="225"/>
        <v>0</v>
      </c>
      <c r="EU57" s="215">
        <f>IF(EQ57="",0,MAX(ER57:ES57:ET57))</f>
        <v>0</v>
      </c>
      <c r="EV57" s="216" t="str">
        <f t="shared" si="297"/>
        <v/>
      </c>
      <c r="EW57" s="217" t="str">
        <f t="shared" si="298"/>
        <v/>
      </c>
      <c r="EX57" s="217" t="str">
        <f t="shared" si="299"/>
        <v/>
      </c>
      <c r="EY57" s="49" t="str">
        <f t="shared" si="226"/>
        <v/>
      </c>
      <c r="EZ57" s="123">
        <f t="shared" si="227"/>
        <v>0</v>
      </c>
      <c r="FA57" s="123">
        <f t="shared" si="228"/>
        <v>0</v>
      </c>
      <c r="FB57" s="123">
        <f t="shared" si="229"/>
        <v>0</v>
      </c>
      <c r="FC57" s="215">
        <f>IF(EY57="",0,MAX(EZ57:FA57:FB57))</f>
        <v>0</v>
      </c>
      <c r="FD57" s="216" t="str">
        <f t="shared" si="300"/>
        <v/>
      </c>
      <c r="FE57" s="217" t="str">
        <f t="shared" si="301"/>
        <v/>
      </c>
      <c r="FF57" s="217" t="str">
        <f t="shared" si="302"/>
        <v/>
      </c>
      <c r="FG57" s="49" t="str">
        <f t="shared" si="230"/>
        <v/>
      </c>
      <c r="FH57" s="123">
        <f t="shared" si="231"/>
        <v>0</v>
      </c>
      <c r="FI57" s="123">
        <f t="shared" si="232"/>
        <v>0</v>
      </c>
      <c r="FJ57" s="123">
        <f t="shared" si="233"/>
        <v>0</v>
      </c>
      <c r="FK57" s="215">
        <f>IF(FG57="",0,MAX(FH57:FI57:FJ57))</f>
        <v>0</v>
      </c>
      <c r="FL57" s="216" t="str">
        <f t="shared" si="303"/>
        <v/>
      </c>
      <c r="FM57" s="217" t="str">
        <f t="shared" si="304"/>
        <v/>
      </c>
      <c r="FN57" s="217" t="str">
        <f t="shared" si="305"/>
        <v/>
      </c>
      <c r="FO57" s="49" t="str">
        <f t="shared" si="234"/>
        <v/>
      </c>
      <c r="FP57" s="123">
        <f t="shared" si="235"/>
        <v>0</v>
      </c>
      <c r="FQ57" s="123">
        <f t="shared" si="236"/>
        <v>0</v>
      </c>
      <c r="FR57" s="123">
        <f t="shared" si="237"/>
        <v>0</v>
      </c>
      <c r="FS57" s="215">
        <f>IF(FO57="",0,MAX(FP57:FQ57:FR57))</f>
        <v>0</v>
      </c>
      <c r="FT57" s="216" t="str">
        <f t="shared" si="306"/>
        <v/>
      </c>
      <c r="FU57" s="217" t="str">
        <f t="shared" si="307"/>
        <v/>
      </c>
      <c r="FV57" s="217" t="str">
        <f t="shared" si="308"/>
        <v/>
      </c>
      <c r="FW57" s="49" t="str">
        <f t="shared" si="238"/>
        <v/>
      </c>
      <c r="FX57" s="123">
        <f t="shared" si="239"/>
        <v>0</v>
      </c>
      <c r="FY57" s="123">
        <f t="shared" si="240"/>
        <v>0</v>
      </c>
      <c r="FZ57" s="123">
        <f t="shared" si="241"/>
        <v>0</v>
      </c>
      <c r="GA57" s="215">
        <f>IF(FW57="",0,MAX(FX57:FY57:FZ57))</f>
        <v>0</v>
      </c>
      <c r="GB57" s="216" t="str">
        <f t="shared" si="309"/>
        <v/>
      </c>
      <c r="GC57" s="217" t="str">
        <f t="shared" si="310"/>
        <v/>
      </c>
      <c r="GD57" s="217" t="str">
        <f t="shared" si="311"/>
        <v/>
      </c>
      <c r="GE57" s="49" t="str">
        <f t="shared" si="242"/>
        <v/>
      </c>
      <c r="GF57" s="123">
        <f t="shared" si="243"/>
        <v>0</v>
      </c>
      <c r="GG57" s="123">
        <f t="shared" si="244"/>
        <v>0</v>
      </c>
      <c r="GH57" s="123">
        <f t="shared" si="245"/>
        <v>0</v>
      </c>
      <c r="GI57" s="215">
        <f>IF(GE57="",0,MAX(GF57:GG57:GH57))</f>
        <v>0</v>
      </c>
      <c r="GJ57" s="216" t="str">
        <f t="shared" si="312"/>
        <v/>
      </c>
      <c r="GK57" s="217" t="str">
        <f t="shared" si="313"/>
        <v/>
      </c>
      <c r="GL57" s="217" t="str">
        <f t="shared" si="314"/>
        <v/>
      </c>
      <c r="GM57" s="49" t="str">
        <f t="shared" si="246"/>
        <v/>
      </c>
      <c r="GN57" s="123">
        <f t="shared" si="247"/>
        <v>0</v>
      </c>
      <c r="GO57" s="123">
        <f t="shared" si="248"/>
        <v>0</v>
      </c>
      <c r="GP57" s="123">
        <f t="shared" si="249"/>
        <v>0</v>
      </c>
      <c r="GQ57" s="215">
        <f>IF(GM57="",0,MAX(GN57:GO57:GP57))</f>
        <v>0</v>
      </c>
      <c r="GR57" s="216" t="str">
        <f t="shared" si="315"/>
        <v/>
      </c>
      <c r="GS57" s="217" t="str">
        <f t="shared" si="316"/>
        <v/>
      </c>
      <c r="GT57" s="217" t="str">
        <f t="shared" si="317"/>
        <v/>
      </c>
      <c r="GU57" s="49" t="str">
        <f t="shared" si="250"/>
        <v/>
      </c>
      <c r="GV57" s="123">
        <f t="shared" si="251"/>
        <v>0</v>
      </c>
      <c r="GW57" s="123">
        <f t="shared" si="252"/>
        <v>0</v>
      </c>
      <c r="GX57" s="123">
        <f t="shared" si="253"/>
        <v>0</v>
      </c>
      <c r="GY57" s="215">
        <f>IF(GU57="",0,MAX(GV57:GW57:GX57))</f>
        <v>0</v>
      </c>
      <c r="GZ57" s="216" t="str">
        <f t="shared" si="318"/>
        <v/>
      </c>
      <c r="HA57" s="217" t="str">
        <f t="shared" si="319"/>
        <v/>
      </c>
      <c r="HB57" s="217" t="str">
        <f t="shared" si="320"/>
        <v/>
      </c>
      <c r="HC57" s="49" t="str">
        <f t="shared" si="254"/>
        <v/>
      </c>
      <c r="HD57" s="123">
        <f t="shared" si="255"/>
        <v>0</v>
      </c>
      <c r="HE57" s="123">
        <f t="shared" si="256"/>
        <v>0</v>
      </c>
      <c r="HF57" s="123">
        <f t="shared" si="257"/>
        <v>0</v>
      </c>
      <c r="HG57" s="215">
        <f>IF(HC57="",0,MAX(HD57:HE57:HF57))</f>
        <v>0</v>
      </c>
      <c r="HH57" s="216" t="str">
        <f t="shared" si="321"/>
        <v/>
      </c>
      <c r="HI57" s="217" t="str">
        <f t="shared" si="322"/>
        <v/>
      </c>
      <c r="HJ57" s="217" t="str">
        <f t="shared" si="323"/>
        <v/>
      </c>
      <c r="HK57" s="49" t="str">
        <f t="shared" si="258"/>
        <v/>
      </c>
      <c r="HL57" s="123">
        <f t="shared" si="259"/>
        <v>0</v>
      </c>
      <c r="HM57" s="123">
        <f t="shared" si="260"/>
        <v>0</v>
      </c>
      <c r="HN57" s="123">
        <f t="shared" si="261"/>
        <v>0</v>
      </c>
      <c r="HO57" s="215">
        <f>IF(HK57="",0,MAX(HL57:HM57:HN57))</f>
        <v>0</v>
      </c>
      <c r="HP57" s="216" t="str">
        <f t="shared" si="324"/>
        <v/>
      </c>
      <c r="HQ57" s="217" t="str">
        <f t="shared" si="325"/>
        <v/>
      </c>
      <c r="HR57" s="217" t="str">
        <f t="shared" si="326"/>
        <v/>
      </c>
      <c r="HS57" s="49" t="str">
        <f t="shared" si="262"/>
        <v/>
      </c>
      <c r="HT57" s="123">
        <f t="shared" si="263"/>
        <v>0</v>
      </c>
      <c r="HU57" s="123">
        <f t="shared" si="264"/>
        <v>0</v>
      </c>
      <c r="HV57" s="123">
        <f t="shared" si="265"/>
        <v>0</v>
      </c>
      <c r="HW57" s="215">
        <f>IF(HS57="",0,MAX(HT57:HU57:HV57))</f>
        <v>0</v>
      </c>
      <c r="HX57" s="216" t="str">
        <f t="shared" si="327"/>
        <v/>
      </c>
      <c r="HY57" s="217" t="str">
        <f t="shared" si="328"/>
        <v/>
      </c>
      <c r="HZ57" s="217" t="str">
        <f t="shared" si="329"/>
        <v/>
      </c>
      <c r="IA57" s="49" t="str">
        <f t="shared" si="266"/>
        <v/>
      </c>
      <c r="IB57" s="123">
        <f t="shared" si="267"/>
        <v>0</v>
      </c>
      <c r="IC57" s="123">
        <f t="shared" si="268"/>
        <v>0</v>
      </c>
      <c r="ID57" s="123">
        <f t="shared" si="269"/>
        <v>0</v>
      </c>
      <c r="IE57" s="215">
        <f>IF(IA57="",0,MAX(IB57:IC57:ID57))</f>
        <v>0</v>
      </c>
      <c r="IF57" s="216" t="str">
        <f t="shared" si="330"/>
        <v/>
      </c>
      <c r="IG57" s="217" t="str">
        <f t="shared" si="331"/>
        <v/>
      </c>
      <c r="IH57" s="217" t="str">
        <f t="shared" si="332"/>
        <v/>
      </c>
      <c r="II57" s="49" t="str">
        <f t="shared" si="270"/>
        <v/>
      </c>
      <c r="IJ57" s="123">
        <f t="shared" si="271"/>
        <v>0</v>
      </c>
      <c r="IK57" s="123">
        <f t="shared" si="272"/>
        <v>0</v>
      </c>
      <c r="IL57" s="123">
        <f t="shared" si="273"/>
        <v>0</v>
      </c>
      <c r="IM57" s="215">
        <f>IF(II57="",0,MAX(IJ57:IK57:IL57))</f>
        <v>0</v>
      </c>
      <c r="IN57" s="216" t="str">
        <f t="shared" si="333"/>
        <v/>
      </c>
      <c r="IO57" s="217" t="str">
        <f t="shared" si="334"/>
        <v/>
      </c>
      <c r="IP57" s="217" t="str">
        <f t="shared" si="335"/>
        <v/>
      </c>
      <c r="IQ57" s="49" t="str">
        <f t="shared" si="274"/>
        <v/>
      </c>
      <c r="IR57" s="123">
        <f t="shared" si="275"/>
        <v>0</v>
      </c>
      <c r="IS57" s="123">
        <f t="shared" si="276"/>
        <v>0</v>
      </c>
      <c r="IT57" s="123">
        <f t="shared" si="277"/>
        <v>0</v>
      </c>
      <c r="IU57" s="215">
        <f>IF(IQ57="",0,MAX(IR57:IS57:IT57))</f>
        <v>0</v>
      </c>
    </row>
    <row r="58" spans="1:255" ht="13.3" thickTop="1" thickBot="1" x14ac:dyDescent="0.35">
      <c r="D58" s="32"/>
      <c r="E58" s="86"/>
      <c r="F58" s="86"/>
      <c r="G58" s="86"/>
      <c r="H58" s="86"/>
      <c r="I58" s="86"/>
      <c r="J58" s="86"/>
      <c r="K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370" t="s">
        <v>275</v>
      </c>
      <c r="AM58" s="86"/>
      <c r="AO58" s="1196"/>
      <c r="AP58" s="1197"/>
      <c r="AQ58" s="1197"/>
      <c r="AR58" s="1197"/>
      <c r="AV58" s="345" t="str">
        <f t="shared" si="345"/>
        <v/>
      </c>
      <c r="AW58" s="274" t="str">
        <f t="shared" si="197"/>
        <v/>
      </c>
      <c r="AX58" s="274" t="str">
        <f t="shared" si="198"/>
        <v/>
      </c>
      <c r="AY58" s="275" t="str">
        <f t="shared" si="199"/>
        <v/>
      </c>
      <c r="AZ58" s="284"/>
      <c r="BA58" s="275" t="str">
        <f>IF($AY57="","",IF(AND($BB58&lt;&gt;"",$BB58&gt;$AY57),$BB58,IF(AND($BB59&lt;&gt;"",$BB59&gt;$AY57),$BB59,"")))</f>
        <v/>
      </c>
      <c r="BB58" s="275" t="str">
        <f t="shared" si="200"/>
        <v/>
      </c>
      <c r="BC58" s="279" t="s">
        <v>252</v>
      </c>
      <c r="BD58" s="275">
        <v>1.5</v>
      </c>
      <c r="BE58" s="280">
        <f>BK55</f>
        <v>0</v>
      </c>
      <c r="BF58" s="345">
        <f t="shared" si="336"/>
        <v>1</v>
      </c>
      <c r="BG58" s="347" t="str">
        <f t="shared" si="337"/>
        <v/>
      </c>
      <c r="BH58" s="347" t="str">
        <f t="shared" si="338"/>
        <v/>
      </c>
      <c r="BI58" s="347" t="str">
        <f t="shared" si="339"/>
        <v/>
      </c>
      <c r="BJ58" s="347" t="str">
        <f t="shared" si="340"/>
        <v/>
      </c>
      <c r="BK58" s="347" t="str">
        <f t="shared" si="341"/>
        <v/>
      </c>
      <c r="BL58" s="347" t="str">
        <f t="shared" si="342"/>
        <v/>
      </c>
      <c r="BN58" s="67"/>
      <c r="BO58" s="67"/>
      <c r="CW58" s="209" t="str">
        <f t="shared" si="343"/>
        <v/>
      </c>
      <c r="CX58" s="204" t="str">
        <f t="shared" si="201"/>
        <v/>
      </c>
      <c r="CY58" s="43">
        <f t="shared" si="279"/>
        <v>0</v>
      </c>
      <c r="CZ58" s="214">
        <f t="shared" si="344"/>
        <v>0</v>
      </c>
      <c r="DA58" s="45">
        <f t="shared" si="280"/>
        <v>0</v>
      </c>
      <c r="DB58" s="46">
        <f t="shared" si="202"/>
        <v>0</v>
      </c>
      <c r="DC58" s="47" t="str">
        <f t="shared" si="281"/>
        <v/>
      </c>
      <c r="DD58" s="123">
        <f t="shared" si="203"/>
        <v>0</v>
      </c>
      <c r="DE58" s="123">
        <f t="shared" si="204"/>
        <v>0</v>
      </c>
      <c r="DF58" s="123">
        <f t="shared" si="205"/>
        <v>0</v>
      </c>
      <c r="DG58" s="215">
        <f>IF(DC58="",0,MAX(DD58:DE58:DF58))</f>
        <v>0</v>
      </c>
      <c r="DH58" s="216" t="str">
        <f t="shared" si="282"/>
        <v/>
      </c>
      <c r="DI58" s="217" t="str">
        <f t="shared" si="283"/>
        <v/>
      </c>
      <c r="DJ58" s="217" t="str">
        <f t="shared" si="284"/>
        <v/>
      </c>
      <c r="DK58" s="49" t="str">
        <f t="shared" si="206"/>
        <v/>
      </c>
      <c r="DL58" s="123">
        <f t="shared" si="207"/>
        <v>0</v>
      </c>
      <c r="DM58" s="123">
        <f t="shared" si="208"/>
        <v>0</v>
      </c>
      <c r="DN58" s="123">
        <f t="shared" si="209"/>
        <v>0</v>
      </c>
      <c r="DO58" s="215">
        <f>IF(DK58="",0,MAX(DL58:DM58:DN58))</f>
        <v>0</v>
      </c>
      <c r="DP58" s="216" t="str">
        <f t="shared" si="285"/>
        <v/>
      </c>
      <c r="DQ58" s="217" t="str">
        <f t="shared" si="286"/>
        <v/>
      </c>
      <c r="DR58" s="217" t="str">
        <f t="shared" si="287"/>
        <v/>
      </c>
      <c r="DS58" s="49" t="str">
        <f t="shared" si="210"/>
        <v/>
      </c>
      <c r="DT58" s="123">
        <f t="shared" si="211"/>
        <v>0</v>
      </c>
      <c r="DU58" s="123">
        <f t="shared" si="212"/>
        <v>0</v>
      </c>
      <c r="DV58" s="123">
        <f t="shared" si="213"/>
        <v>0</v>
      </c>
      <c r="DW58" s="215">
        <f>IF(DS58="",0,MAX(DT58:DU58:DV58))</f>
        <v>0</v>
      </c>
      <c r="DX58" s="216" t="str">
        <f t="shared" si="288"/>
        <v/>
      </c>
      <c r="DY58" s="217" t="str">
        <f t="shared" si="289"/>
        <v/>
      </c>
      <c r="DZ58" s="217" t="str">
        <f t="shared" si="290"/>
        <v/>
      </c>
      <c r="EA58" s="49" t="str">
        <f t="shared" si="214"/>
        <v/>
      </c>
      <c r="EB58" s="123">
        <f t="shared" si="215"/>
        <v>0</v>
      </c>
      <c r="EC58" s="123">
        <f t="shared" si="216"/>
        <v>0</v>
      </c>
      <c r="ED58" s="123">
        <f t="shared" si="217"/>
        <v>0</v>
      </c>
      <c r="EE58" s="215">
        <f>IF(EA58="",0,MAX(EB58:EC58:ED58))</f>
        <v>0</v>
      </c>
      <c r="EF58" s="216" t="str">
        <f t="shared" si="291"/>
        <v/>
      </c>
      <c r="EG58" s="217" t="str">
        <f t="shared" si="292"/>
        <v/>
      </c>
      <c r="EH58" s="217" t="str">
        <f t="shared" si="293"/>
        <v/>
      </c>
      <c r="EI58" s="49" t="str">
        <f t="shared" si="218"/>
        <v/>
      </c>
      <c r="EJ58" s="123">
        <f t="shared" si="219"/>
        <v>0</v>
      </c>
      <c r="EK58" s="123">
        <f t="shared" si="220"/>
        <v>0</v>
      </c>
      <c r="EL58" s="123">
        <f t="shared" si="221"/>
        <v>0</v>
      </c>
      <c r="EM58" s="215">
        <f>IF(EI58="",0,MAX(EJ58:EK58:EL58))</f>
        <v>0</v>
      </c>
      <c r="EN58" s="216" t="str">
        <f t="shared" si="294"/>
        <v/>
      </c>
      <c r="EO58" s="217" t="str">
        <f t="shared" si="295"/>
        <v/>
      </c>
      <c r="EP58" s="217" t="str">
        <f t="shared" si="296"/>
        <v/>
      </c>
      <c r="EQ58" s="49" t="str">
        <f t="shared" si="222"/>
        <v/>
      </c>
      <c r="ER58" s="123">
        <f t="shared" si="223"/>
        <v>0</v>
      </c>
      <c r="ES58" s="123">
        <f t="shared" si="224"/>
        <v>0</v>
      </c>
      <c r="ET58" s="123">
        <f t="shared" si="225"/>
        <v>0</v>
      </c>
      <c r="EU58" s="215">
        <f>IF(EQ58="",0,MAX(ER58:ES58:ET58))</f>
        <v>0</v>
      </c>
      <c r="EV58" s="216" t="str">
        <f t="shared" si="297"/>
        <v/>
      </c>
      <c r="EW58" s="217" t="str">
        <f t="shared" si="298"/>
        <v/>
      </c>
      <c r="EX58" s="217" t="str">
        <f t="shared" si="299"/>
        <v/>
      </c>
      <c r="EY58" s="49" t="str">
        <f t="shared" si="226"/>
        <v/>
      </c>
      <c r="EZ58" s="123">
        <f t="shared" si="227"/>
        <v>0</v>
      </c>
      <c r="FA58" s="123">
        <f t="shared" si="228"/>
        <v>0</v>
      </c>
      <c r="FB58" s="123">
        <f t="shared" si="229"/>
        <v>0</v>
      </c>
      <c r="FC58" s="215">
        <f>IF(EY58="",0,MAX(EZ58:FA58:FB58))</f>
        <v>0</v>
      </c>
      <c r="FD58" s="216" t="str">
        <f t="shared" si="300"/>
        <v/>
      </c>
      <c r="FE58" s="217" t="str">
        <f t="shared" si="301"/>
        <v/>
      </c>
      <c r="FF58" s="217" t="str">
        <f t="shared" si="302"/>
        <v/>
      </c>
      <c r="FG58" s="49" t="str">
        <f t="shared" si="230"/>
        <v/>
      </c>
      <c r="FH58" s="123">
        <f t="shared" si="231"/>
        <v>0</v>
      </c>
      <c r="FI58" s="123">
        <f t="shared" si="232"/>
        <v>0</v>
      </c>
      <c r="FJ58" s="123">
        <f t="shared" si="233"/>
        <v>0</v>
      </c>
      <c r="FK58" s="215">
        <f>IF(FG58="",0,MAX(FH58:FI58:FJ58))</f>
        <v>0</v>
      </c>
      <c r="FL58" s="216" t="str">
        <f t="shared" si="303"/>
        <v/>
      </c>
      <c r="FM58" s="217" t="str">
        <f t="shared" si="304"/>
        <v/>
      </c>
      <c r="FN58" s="217" t="str">
        <f t="shared" si="305"/>
        <v/>
      </c>
      <c r="FO58" s="49" t="str">
        <f t="shared" si="234"/>
        <v/>
      </c>
      <c r="FP58" s="123">
        <f t="shared" si="235"/>
        <v>0</v>
      </c>
      <c r="FQ58" s="123">
        <f t="shared" si="236"/>
        <v>0</v>
      </c>
      <c r="FR58" s="123">
        <f t="shared" si="237"/>
        <v>0</v>
      </c>
      <c r="FS58" s="215">
        <f>IF(FO58="",0,MAX(FP58:FQ58:FR58))</f>
        <v>0</v>
      </c>
      <c r="FT58" s="216" t="str">
        <f t="shared" si="306"/>
        <v/>
      </c>
      <c r="FU58" s="217" t="str">
        <f t="shared" si="307"/>
        <v/>
      </c>
      <c r="FV58" s="217" t="str">
        <f t="shared" si="308"/>
        <v/>
      </c>
      <c r="FW58" s="49" t="str">
        <f t="shared" si="238"/>
        <v/>
      </c>
      <c r="FX58" s="123">
        <f t="shared" si="239"/>
        <v>0</v>
      </c>
      <c r="FY58" s="123">
        <f t="shared" si="240"/>
        <v>0</v>
      </c>
      <c r="FZ58" s="123">
        <f t="shared" si="241"/>
        <v>0</v>
      </c>
      <c r="GA58" s="215">
        <f>IF(FW58="",0,MAX(FX58:FY58:FZ58))</f>
        <v>0</v>
      </c>
      <c r="GB58" s="216" t="str">
        <f t="shared" si="309"/>
        <v/>
      </c>
      <c r="GC58" s="217" t="str">
        <f t="shared" si="310"/>
        <v/>
      </c>
      <c r="GD58" s="217" t="str">
        <f t="shared" si="311"/>
        <v/>
      </c>
      <c r="GE58" s="49" t="str">
        <f t="shared" si="242"/>
        <v/>
      </c>
      <c r="GF58" s="123">
        <f t="shared" si="243"/>
        <v>0</v>
      </c>
      <c r="GG58" s="123">
        <f t="shared" si="244"/>
        <v>0</v>
      </c>
      <c r="GH58" s="123">
        <f t="shared" si="245"/>
        <v>0</v>
      </c>
      <c r="GI58" s="215">
        <f>IF(GE58="",0,MAX(GF58:GG58:GH58))</f>
        <v>0</v>
      </c>
      <c r="GJ58" s="216" t="str">
        <f t="shared" si="312"/>
        <v/>
      </c>
      <c r="GK58" s="217" t="str">
        <f t="shared" si="313"/>
        <v/>
      </c>
      <c r="GL58" s="217" t="str">
        <f t="shared" si="314"/>
        <v/>
      </c>
      <c r="GM58" s="49" t="str">
        <f t="shared" si="246"/>
        <v/>
      </c>
      <c r="GN58" s="123">
        <f t="shared" si="247"/>
        <v>0</v>
      </c>
      <c r="GO58" s="123">
        <f t="shared" si="248"/>
        <v>0</v>
      </c>
      <c r="GP58" s="123">
        <f t="shared" si="249"/>
        <v>0</v>
      </c>
      <c r="GQ58" s="215">
        <f>IF(GM58="",0,MAX(GN58:GO58:GP58))</f>
        <v>0</v>
      </c>
      <c r="GR58" s="216" t="str">
        <f t="shared" si="315"/>
        <v/>
      </c>
      <c r="GS58" s="217" t="str">
        <f t="shared" si="316"/>
        <v/>
      </c>
      <c r="GT58" s="217" t="str">
        <f t="shared" si="317"/>
        <v/>
      </c>
      <c r="GU58" s="49" t="str">
        <f t="shared" si="250"/>
        <v/>
      </c>
      <c r="GV58" s="123">
        <f t="shared" si="251"/>
        <v>0</v>
      </c>
      <c r="GW58" s="123">
        <f t="shared" si="252"/>
        <v>0</v>
      </c>
      <c r="GX58" s="123">
        <f t="shared" si="253"/>
        <v>0</v>
      </c>
      <c r="GY58" s="215">
        <f>IF(GU58="",0,MAX(GV58:GW58:GX58))</f>
        <v>0</v>
      </c>
      <c r="GZ58" s="216" t="str">
        <f t="shared" si="318"/>
        <v/>
      </c>
      <c r="HA58" s="217" t="str">
        <f t="shared" si="319"/>
        <v/>
      </c>
      <c r="HB58" s="217" t="str">
        <f t="shared" si="320"/>
        <v/>
      </c>
      <c r="HC58" s="49" t="str">
        <f t="shared" si="254"/>
        <v/>
      </c>
      <c r="HD58" s="123">
        <f t="shared" si="255"/>
        <v>0</v>
      </c>
      <c r="HE58" s="123">
        <f t="shared" si="256"/>
        <v>0</v>
      </c>
      <c r="HF58" s="123">
        <f t="shared" si="257"/>
        <v>0</v>
      </c>
      <c r="HG58" s="215">
        <f>IF(HC58="",0,MAX(HD58:HE58:HF58))</f>
        <v>0</v>
      </c>
      <c r="HH58" s="216" t="str">
        <f t="shared" si="321"/>
        <v/>
      </c>
      <c r="HI58" s="217" t="str">
        <f t="shared" si="322"/>
        <v/>
      </c>
      <c r="HJ58" s="217" t="str">
        <f t="shared" si="323"/>
        <v/>
      </c>
      <c r="HK58" s="49" t="str">
        <f t="shared" si="258"/>
        <v/>
      </c>
      <c r="HL58" s="123">
        <f t="shared" si="259"/>
        <v>0</v>
      </c>
      <c r="HM58" s="123">
        <f t="shared" si="260"/>
        <v>0</v>
      </c>
      <c r="HN58" s="123">
        <f t="shared" si="261"/>
        <v>0</v>
      </c>
      <c r="HO58" s="215">
        <f>IF(HK58="",0,MAX(HL58:HM58:HN58))</f>
        <v>0</v>
      </c>
      <c r="HP58" s="216" t="str">
        <f t="shared" si="324"/>
        <v/>
      </c>
      <c r="HQ58" s="217" t="str">
        <f t="shared" si="325"/>
        <v/>
      </c>
      <c r="HR58" s="217" t="str">
        <f t="shared" si="326"/>
        <v/>
      </c>
      <c r="HS58" s="49" t="str">
        <f t="shared" si="262"/>
        <v/>
      </c>
      <c r="HT58" s="123">
        <f t="shared" si="263"/>
        <v>0</v>
      </c>
      <c r="HU58" s="123">
        <f t="shared" si="264"/>
        <v>0</v>
      </c>
      <c r="HV58" s="123">
        <f t="shared" si="265"/>
        <v>0</v>
      </c>
      <c r="HW58" s="215">
        <f>IF(HS58="",0,MAX(HT58:HU58:HV58))</f>
        <v>0</v>
      </c>
      <c r="HX58" s="216" t="str">
        <f t="shared" si="327"/>
        <v/>
      </c>
      <c r="HY58" s="217" t="str">
        <f t="shared" si="328"/>
        <v/>
      </c>
      <c r="HZ58" s="217" t="str">
        <f t="shared" si="329"/>
        <v/>
      </c>
      <c r="IA58" s="49" t="str">
        <f t="shared" si="266"/>
        <v/>
      </c>
      <c r="IB58" s="123">
        <f t="shared" si="267"/>
        <v>0</v>
      </c>
      <c r="IC58" s="123">
        <f t="shared" si="268"/>
        <v>0</v>
      </c>
      <c r="ID58" s="123">
        <f t="shared" si="269"/>
        <v>0</v>
      </c>
      <c r="IE58" s="215">
        <f>IF(IA58="",0,MAX(IB58:IC58:ID58))</f>
        <v>0</v>
      </c>
      <c r="IF58" s="216" t="str">
        <f t="shared" si="330"/>
        <v/>
      </c>
      <c r="IG58" s="217" t="str">
        <f t="shared" si="331"/>
        <v/>
      </c>
      <c r="IH58" s="217" t="str">
        <f t="shared" si="332"/>
        <v/>
      </c>
      <c r="II58" s="49" t="str">
        <f t="shared" si="270"/>
        <v/>
      </c>
      <c r="IJ58" s="123">
        <f t="shared" si="271"/>
        <v>0</v>
      </c>
      <c r="IK58" s="123">
        <f t="shared" si="272"/>
        <v>0</v>
      </c>
      <c r="IL58" s="123">
        <f t="shared" si="273"/>
        <v>0</v>
      </c>
      <c r="IM58" s="215">
        <f>IF(II58="",0,MAX(IJ58:IK58:IL58))</f>
        <v>0</v>
      </c>
      <c r="IN58" s="216" t="str">
        <f t="shared" si="333"/>
        <v/>
      </c>
      <c r="IO58" s="217" t="str">
        <f t="shared" si="334"/>
        <v/>
      </c>
      <c r="IP58" s="217" t="str">
        <f t="shared" si="335"/>
        <v/>
      </c>
      <c r="IQ58" s="49" t="str">
        <f t="shared" si="274"/>
        <v/>
      </c>
      <c r="IR58" s="123">
        <f t="shared" si="275"/>
        <v>0</v>
      </c>
      <c r="IS58" s="123">
        <f t="shared" si="276"/>
        <v>0</v>
      </c>
      <c r="IT58" s="123">
        <f t="shared" si="277"/>
        <v>0</v>
      </c>
      <c r="IU58" s="215">
        <f>IF(IQ58="",0,MAX(IR58:IS58:IT58))</f>
        <v>0</v>
      </c>
    </row>
    <row r="59" spans="1:255" ht="3" customHeight="1" thickTop="1" thickBot="1" x14ac:dyDescent="0.35">
      <c r="AV59" s="345" t="str">
        <f t="shared" si="345"/>
        <v/>
      </c>
      <c r="AW59" s="274" t="str">
        <f t="shared" si="197"/>
        <v/>
      </c>
      <c r="AX59" s="274" t="str">
        <f t="shared" si="198"/>
        <v/>
      </c>
      <c r="AY59" s="275" t="str">
        <f t="shared" si="199"/>
        <v/>
      </c>
      <c r="AZ59" s="284"/>
      <c r="BA59" s="275" t="str">
        <f>IF($AY58="","",IF(AND($BB59&lt;&gt;"",$BB59&gt;$AY58),$BB59,""))</f>
        <v/>
      </c>
      <c r="BB59" s="275" t="str">
        <f t="shared" si="200"/>
        <v/>
      </c>
      <c r="BC59" s="279" t="s">
        <v>253</v>
      </c>
      <c r="BD59" s="275">
        <v>2</v>
      </c>
      <c r="BE59" s="280">
        <f>BL55</f>
        <v>0</v>
      </c>
      <c r="BF59" s="345">
        <f t="shared" si="336"/>
        <v>1</v>
      </c>
      <c r="BG59" s="347" t="str">
        <f t="shared" si="337"/>
        <v/>
      </c>
      <c r="BH59" s="347" t="str">
        <f t="shared" si="338"/>
        <v/>
      </c>
      <c r="BI59" s="347" t="str">
        <f t="shared" si="339"/>
        <v/>
      </c>
      <c r="BJ59" s="347" t="str">
        <f t="shared" si="340"/>
        <v/>
      </c>
      <c r="BK59" s="347" t="str">
        <f t="shared" si="341"/>
        <v/>
      </c>
      <c r="BL59" s="347" t="str">
        <f t="shared" si="342"/>
        <v/>
      </c>
      <c r="BN59" s="67"/>
      <c r="BO59" s="67"/>
      <c r="CW59" s="209" t="str">
        <f t="shared" si="343"/>
        <v/>
      </c>
      <c r="CX59" s="204" t="str">
        <f t="shared" si="201"/>
        <v/>
      </c>
      <c r="CY59" s="43">
        <f t="shared" si="279"/>
        <v>0</v>
      </c>
      <c r="CZ59" s="214">
        <f t="shared" si="344"/>
        <v>0</v>
      </c>
      <c r="DA59" s="45">
        <f t="shared" si="280"/>
        <v>0</v>
      </c>
      <c r="DB59" s="46">
        <f t="shared" si="202"/>
        <v>0</v>
      </c>
      <c r="DC59" s="47" t="str">
        <f t="shared" si="281"/>
        <v/>
      </c>
      <c r="DD59" s="123">
        <f t="shared" si="203"/>
        <v>0</v>
      </c>
      <c r="DE59" s="123">
        <f t="shared" si="204"/>
        <v>0</v>
      </c>
      <c r="DF59" s="123">
        <f t="shared" si="205"/>
        <v>0</v>
      </c>
      <c r="DG59" s="215">
        <f>IF(DC59="",0,MAX(DD59:DE59:DF59))</f>
        <v>0</v>
      </c>
      <c r="DH59" s="216" t="str">
        <f t="shared" si="282"/>
        <v/>
      </c>
      <c r="DI59" s="217" t="str">
        <f t="shared" si="283"/>
        <v/>
      </c>
      <c r="DJ59" s="217" t="str">
        <f t="shared" si="284"/>
        <v/>
      </c>
      <c r="DK59" s="49" t="str">
        <f t="shared" si="206"/>
        <v/>
      </c>
      <c r="DL59" s="123">
        <f t="shared" si="207"/>
        <v>0</v>
      </c>
      <c r="DM59" s="123">
        <f t="shared" si="208"/>
        <v>0</v>
      </c>
      <c r="DN59" s="123">
        <f t="shared" si="209"/>
        <v>0</v>
      </c>
      <c r="DO59" s="215">
        <f>IF(DK59="",0,MAX(DL59:DM59:DN59))</f>
        <v>0</v>
      </c>
      <c r="DP59" s="216" t="str">
        <f t="shared" si="285"/>
        <v/>
      </c>
      <c r="DQ59" s="217" t="str">
        <f t="shared" si="286"/>
        <v/>
      </c>
      <c r="DR59" s="217" t="str">
        <f t="shared" si="287"/>
        <v/>
      </c>
      <c r="DS59" s="49" t="str">
        <f t="shared" si="210"/>
        <v/>
      </c>
      <c r="DT59" s="123">
        <f t="shared" si="211"/>
        <v>0</v>
      </c>
      <c r="DU59" s="123">
        <f t="shared" si="212"/>
        <v>0</v>
      </c>
      <c r="DV59" s="123">
        <f t="shared" si="213"/>
        <v>0</v>
      </c>
      <c r="DW59" s="215">
        <f>IF(DS59="",0,MAX(DT59:DU59:DV59))</f>
        <v>0</v>
      </c>
      <c r="DX59" s="216" t="str">
        <f t="shared" si="288"/>
        <v/>
      </c>
      <c r="DY59" s="217" t="str">
        <f t="shared" si="289"/>
        <v/>
      </c>
      <c r="DZ59" s="217" t="str">
        <f t="shared" si="290"/>
        <v/>
      </c>
      <c r="EA59" s="49" t="str">
        <f t="shared" si="214"/>
        <v/>
      </c>
      <c r="EB59" s="123">
        <f t="shared" si="215"/>
        <v>0</v>
      </c>
      <c r="EC59" s="123">
        <f t="shared" si="216"/>
        <v>0</v>
      </c>
      <c r="ED59" s="123">
        <f t="shared" si="217"/>
        <v>0</v>
      </c>
      <c r="EE59" s="215">
        <f>IF(EA59="",0,MAX(EB59:EC59:ED59))</f>
        <v>0</v>
      </c>
      <c r="EF59" s="216" t="str">
        <f t="shared" si="291"/>
        <v/>
      </c>
      <c r="EG59" s="217" t="str">
        <f t="shared" si="292"/>
        <v/>
      </c>
      <c r="EH59" s="217" t="str">
        <f t="shared" si="293"/>
        <v/>
      </c>
      <c r="EI59" s="49" t="str">
        <f t="shared" si="218"/>
        <v/>
      </c>
      <c r="EJ59" s="123">
        <f t="shared" si="219"/>
        <v>0</v>
      </c>
      <c r="EK59" s="123">
        <f t="shared" si="220"/>
        <v>0</v>
      </c>
      <c r="EL59" s="123">
        <f t="shared" si="221"/>
        <v>0</v>
      </c>
      <c r="EM59" s="215">
        <f>IF(EI59="",0,MAX(EJ59:EK59:EL59))</f>
        <v>0</v>
      </c>
      <c r="EN59" s="216" t="str">
        <f t="shared" si="294"/>
        <v/>
      </c>
      <c r="EO59" s="217" t="str">
        <f t="shared" si="295"/>
        <v/>
      </c>
      <c r="EP59" s="217" t="str">
        <f t="shared" si="296"/>
        <v/>
      </c>
      <c r="EQ59" s="49" t="str">
        <f t="shared" si="222"/>
        <v/>
      </c>
      <c r="ER59" s="123">
        <f t="shared" si="223"/>
        <v>0</v>
      </c>
      <c r="ES59" s="123">
        <f t="shared" si="224"/>
        <v>0</v>
      </c>
      <c r="ET59" s="123">
        <f t="shared" si="225"/>
        <v>0</v>
      </c>
      <c r="EU59" s="215">
        <f>IF(EQ59="",0,MAX(ER59:ES59:ET59))</f>
        <v>0</v>
      </c>
      <c r="EV59" s="216" t="str">
        <f t="shared" si="297"/>
        <v/>
      </c>
      <c r="EW59" s="217" t="str">
        <f t="shared" si="298"/>
        <v/>
      </c>
      <c r="EX59" s="217" t="str">
        <f t="shared" si="299"/>
        <v/>
      </c>
      <c r="EY59" s="49" t="str">
        <f t="shared" si="226"/>
        <v/>
      </c>
      <c r="EZ59" s="123">
        <f t="shared" si="227"/>
        <v>0</v>
      </c>
      <c r="FA59" s="123">
        <f t="shared" si="228"/>
        <v>0</v>
      </c>
      <c r="FB59" s="123">
        <f t="shared" si="229"/>
        <v>0</v>
      </c>
      <c r="FC59" s="215">
        <f>IF(EY59="",0,MAX(EZ59:FA59:FB59))</f>
        <v>0</v>
      </c>
      <c r="FD59" s="216" t="str">
        <f t="shared" si="300"/>
        <v/>
      </c>
      <c r="FE59" s="217" t="str">
        <f t="shared" si="301"/>
        <v/>
      </c>
      <c r="FF59" s="217" t="str">
        <f t="shared" si="302"/>
        <v/>
      </c>
      <c r="FG59" s="49" t="str">
        <f t="shared" si="230"/>
        <v/>
      </c>
      <c r="FH59" s="123">
        <f t="shared" si="231"/>
        <v>0</v>
      </c>
      <c r="FI59" s="123">
        <f t="shared" si="232"/>
        <v>0</v>
      </c>
      <c r="FJ59" s="123">
        <f t="shared" si="233"/>
        <v>0</v>
      </c>
      <c r="FK59" s="215">
        <f>IF(FG59="",0,MAX(FH59:FI59:FJ59))</f>
        <v>0</v>
      </c>
      <c r="FL59" s="216" t="str">
        <f t="shared" si="303"/>
        <v/>
      </c>
      <c r="FM59" s="217" t="str">
        <f t="shared" si="304"/>
        <v/>
      </c>
      <c r="FN59" s="217" t="str">
        <f t="shared" si="305"/>
        <v/>
      </c>
      <c r="FO59" s="49" t="str">
        <f t="shared" si="234"/>
        <v/>
      </c>
      <c r="FP59" s="123">
        <f t="shared" si="235"/>
        <v>0</v>
      </c>
      <c r="FQ59" s="123">
        <f t="shared" si="236"/>
        <v>0</v>
      </c>
      <c r="FR59" s="123">
        <f t="shared" si="237"/>
        <v>0</v>
      </c>
      <c r="FS59" s="215">
        <f>IF(FO59="",0,MAX(FP59:FQ59:FR59))</f>
        <v>0</v>
      </c>
      <c r="FT59" s="216" t="str">
        <f t="shared" si="306"/>
        <v/>
      </c>
      <c r="FU59" s="217" t="str">
        <f t="shared" si="307"/>
        <v/>
      </c>
      <c r="FV59" s="217" t="str">
        <f t="shared" si="308"/>
        <v/>
      </c>
      <c r="FW59" s="49" t="str">
        <f t="shared" si="238"/>
        <v/>
      </c>
      <c r="FX59" s="123">
        <f t="shared" si="239"/>
        <v>0</v>
      </c>
      <c r="FY59" s="123">
        <f t="shared" si="240"/>
        <v>0</v>
      </c>
      <c r="FZ59" s="123">
        <f t="shared" si="241"/>
        <v>0</v>
      </c>
      <c r="GA59" s="215">
        <f>IF(FW59="",0,MAX(FX59:FY59:FZ59))</f>
        <v>0</v>
      </c>
      <c r="GB59" s="216" t="str">
        <f t="shared" si="309"/>
        <v/>
      </c>
      <c r="GC59" s="217" t="str">
        <f t="shared" si="310"/>
        <v/>
      </c>
      <c r="GD59" s="217" t="str">
        <f t="shared" si="311"/>
        <v/>
      </c>
      <c r="GE59" s="49" t="str">
        <f t="shared" si="242"/>
        <v/>
      </c>
      <c r="GF59" s="123">
        <f t="shared" si="243"/>
        <v>0</v>
      </c>
      <c r="GG59" s="123">
        <f t="shared" si="244"/>
        <v>0</v>
      </c>
      <c r="GH59" s="123">
        <f t="shared" si="245"/>
        <v>0</v>
      </c>
      <c r="GI59" s="215">
        <f>IF(GE59="",0,MAX(GF59:GG59:GH59))</f>
        <v>0</v>
      </c>
      <c r="GJ59" s="216" t="str">
        <f t="shared" si="312"/>
        <v/>
      </c>
      <c r="GK59" s="217" t="str">
        <f t="shared" si="313"/>
        <v/>
      </c>
      <c r="GL59" s="217" t="str">
        <f t="shared" si="314"/>
        <v/>
      </c>
      <c r="GM59" s="49" t="str">
        <f t="shared" si="246"/>
        <v/>
      </c>
      <c r="GN59" s="123">
        <f t="shared" si="247"/>
        <v>0</v>
      </c>
      <c r="GO59" s="123">
        <f t="shared" si="248"/>
        <v>0</v>
      </c>
      <c r="GP59" s="123">
        <f t="shared" si="249"/>
        <v>0</v>
      </c>
      <c r="GQ59" s="215">
        <f>IF(GM59="",0,MAX(GN59:GO59:GP59))</f>
        <v>0</v>
      </c>
      <c r="GR59" s="216" t="str">
        <f t="shared" si="315"/>
        <v/>
      </c>
      <c r="GS59" s="217" t="str">
        <f t="shared" si="316"/>
        <v/>
      </c>
      <c r="GT59" s="217" t="str">
        <f t="shared" si="317"/>
        <v/>
      </c>
      <c r="GU59" s="49" t="str">
        <f t="shared" si="250"/>
        <v/>
      </c>
      <c r="GV59" s="123">
        <f t="shared" si="251"/>
        <v>0</v>
      </c>
      <c r="GW59" s="123">
        <f t="shared" si="252"/>
        <v>0</v>
      </c>
      <c r="GX59" s="123">
        <f t="shared" si="253"/>
        <v>0</v>
      </c>
      <c r="GY59" s="215">
        <f>IF(GU59="",0,MAX(GV59:GW59:GX59))</f>
        <v>0</v>
      </c>
      <c r="GZ59" s="216" t="str">
        <f t="shared" si="318"/>
        <v/>
      </c>
      <c r="HA59" s="217" t="str">
        <f t="shared" si="319"/>
        <v/>
      </c>
      <c r="HB59" s="217" t="str">
        <f t="shared" si="320"/>
        <v/>
      </c>
      <c r="HC59" s="49" t="str">
        <f t="shared" si="254"/>
        <v/>
      </c>
      <c r="HD59" s="123">
        <f t="shared" si="255"/>
        <v>0</v>
      </c>
      <c r="HE59" s="123">
        <f t="shared" si="256"/>
        <v>0</v>
      </c>
      <c r="HF59" s="123">
        <f t="shared" si="257"/>
        <v>0</v>
      </c>
      <c r="HG59" s="215">
        <f>IF(HC59="",0,MAX(HD59:HE59:HF59))</f>
        <v>0</v>
      </c>
      <c r="HH59" s="216" t="str">
        <f t="shared" si="321"/>
        <v/>
      </c>
      <c r="HI59" s="217" t="str">
        <f t="shared" si="322"/>
        <v/>
      </c>
      <c r="HJ59" s="217" t="str">
        <f t="shared" si="323"/>
        <v/>
      </c>
      <c r="HK59" s="49" t="str">
        <f t="shared" si="258"/>
        <v/>
      </c>
      <c r="HL59" s="123">
        <f t="shared" si="259"/>
        <v>0</v>
      </c>
      <c r="HM59" s="123">
        <f t="shared" si="260"/>
        <v>0</v>
      </c>
      <c r="HN59" s="123">
        <f t="shared" si="261"/>
        <v>0</v>
      </c>
      <c r="HO59" s="215">
        <f>IF(HK59="",0,MAX(HL59:HM59:HN59))</f>
        <v>0</v>
      </c>
      <c r="HP59" s="216" t="str">
        <f t="shared" si="324"/>
        <v/>
      </c>
      <c r="HQ59" s="217" t="str">
        <f t="shared" si="325"/>
        <v/>
      </c>
      <c r="HR59" s="217" t="str">
        <f t="shared" si="326"/>
        <v/>
      </c>
      <c r="HS59" s="49" t="str">
        <f t="shared" si="262"/>
        <v/>
      </c>
      <c r="HT59" s="123">
        <f t="shared" si="263"/>
        <v>0</v>
      </c>
      <c r="HU59" s="123">
        <f t="shared" si="264"/>
        <v>0</v>
      </c>
      <c r="HV59" s="123">
        <f t="shared" si="265"/>
        <v>0</v>
      </c>
      <c r="HW59" s="215">
        <f>IF(HS59="",0,MAX(HT59:HU59:HV59))</f>
        <v>0</v>
      </c>
      <c r="HX59" s="216" t="str">
        <f t="shared" si="327"/>
        <v/>
      </c>
      <c r="HY59" s="217" t="str">
        <f t="shared" si="328"/>
        <v/>
      </c>
      <c r="HZ59" s="217" t="str">
        <f t="shared" si="329"/>
        <v/>
      </c>
      <c r="IA59" s="49" t="str">
        <f t="shared" si="266"/>
        <v/>
      </c>
      <c r="IB59" s="123">
        <f t="shared" si="267"/>
        <v>0</v>
      </c>
      <c r="IC59" s="123">
        <f t="shared" si="268"/>
        <v>0</v>
      </c>
      <c r="ID59" s="123">
        <f t="shared" si="269"/>
        <v>0</v>
      </c>
      <c r="IE59" s="215">
        <f>IF(IA59="",0,MAX(IB59:IC59:ID59))</f>
        <v>0</v>
      </c>
      <c r="IF59" s="216" t="str">
        <f t="shared" si="330"/>
        <v/>
      </c>
      <c r="IG59" s="217" t="str">
        <f t="shared" si="331"/>
        <v/>
      </c>
      <c r="IH59" s="217" t="str">
        <f t="shared" si="332"/>
        <v/>
      </c>
      <c r="II59" s="49" t="str">
        <f t="shared" si="270"/>
        <v/>
      </c>
      <c r="IJ59" s="123">
        <f t="shared" si="271"/>
        <v>0</v>
      </c>
      <c r="IK59" s="123">
        <f t="shared" si="272"/>
        <v>0</v>
      </c>
      <c r="IL59" s="123">
        <f t="shared" si="273"/>
        <v>0</v>
      </c>
      <c r="IM59" s="215">
        <f>IF(II59="",0,MAX(IJ59:IK59:IL59))</f>
        <v>0</v>
      </c>
      <c r="IN59" s="216" t="str">
        <f t="shared" si="333"/>
        <v/>
      </c>
      <c r="IO59" s="217" t="str">
        <f t="shared" si="334"/>
        <v/>
      </c>
      <c r="IP59" s="217" t="str">
        <f t="shared" si="335"/>
        <v/>
      </c>
      <c r="IQ59" s="49" t="str">
        <f t="shared" si="274"/>
        <v/>
      </c>
      <c r="IR59" s="123">
        <f t="shared" si="275"/>
        <v>0</v>
      </c>
      <c r="IS59" s="123">
        <f t="shared" si="276"/>
        <v>0</v>
      </c>
      <c r="IT59" s="123">
        <f t="shared" si="277"/>
        <v>0</v>
      </c>
      <c r="IU59" s="215">
        <f>IF(IQ59="",0,MAX(IR59:IS59:IT59))</f>
        <v>0</v>
      </c>
    </row>
    <row r="60" spans="1:255" ht="13.3" thickTop="1" thickBot="1" x14ac:dyDescent="0.35">
      <c r="AV60" s="345" t="str">
        <f t="shared" si="345"/>
        <v/>
      </c>
      <c r="BF60" s="345">
        <f t="shared" si="336"/>
        <v>1</v>
      </c>
      <c r="BG60" s="347" t="str">
        <f t="shared" si="337"/>
        <v/>
      </c>
      <c r="BH60" s="347" t="str">
        <f t="shared" si="338"/>
        <v/>
      </c>
      <c r="BI60" s="347" t="str">
        <f t="shared" si="339"/>
        <v/>
      </c>
      <c r="BJ60" s="347" t="str">
        <f t="shared" si="340"/>
        <v/>
      </c>
      <c r="BK60" s="347" t="str">
        <f t="shared" si="341"/>
        <v/>
      </c>
      <c r="BL60" s="347" t="str">
        <f t="shared" si="342"/>
        <v/>
      </c>
      <c r="BN60" s="67"/>
      <c r="BO60" s="67"/>
      <c r="CW60" s="209" t="str">
        <f t="shared" si="343"/>
        <v/>
      </c>
      <c r="CX60" s="204" t="str">
        <f t="shared" si="201"/>
        <v/>
      </c>
      <c r="CY60" s="43">
        <f t="shared" si="279"/>
        <v>0</v>
      </c>
      <c r="CZ60" s="214">
        <f t="shared" si="344"/>
        <v>0</v>
      </c>
      <c r="DA60" s="45">
        <f t="shared" si="280"/>
        <v>0</v>
      </c>
      <c r="DB60" s="46">
        <f t="shared" si="202"/>
        <v>0</v>
      </c>
      <c r="DC60" s="47" t="str">
        <f t="shared" si="281"/>
        <v/>
      </c>
      <c r="DD60" s="123">
        <f t="shared" si="203"/>
        <v>0</v>
      </c>
      <c r="DE60" s="123">
        <f t="shared" si="204"/>
        <v>0</v>
      </c>
      <c r="DF60" s="123">
        <f t="shared" si="205"/>
        <v>0</v>
      </c>
      <c r="DG60" s="215">
        <f>IF(DC60="",0,MAX(DD60:DE60:DF60))</f>
        <v>0</v>
      </c>
      <c r="DH60" s="216" t="str">
        <f t="shared" si="282"/>
        <v/>
      </c>
      <c r="DI60" s="217" t="str">
        <f t="shared" si="283"/>
        <v/>
      </c>
      <c r="DJ60" s="217" t="str">
        <f t="shared" si="284"/>
        <v/>
      </c>
      <c r="DK60" s="49" t="str">
        <f t="shared" si="206"/>
        <v/>
      </c>
      <c r="DL60" s="123">
        <f t="shared" si="207"/>
        <v>0</v>
      </c>
      <c r="DM60" s="123">
        <f t="shared" si="208"/>
        <v>0</v>
      </c>
      <c r="DN60" s="123">
        <f t="shared" si="209"/>
        <v>0</v>
      </c>
      <c r="DO60" s="215">
        <f>IF(DK60="",0,MAX(DL60:DM60:DN60))</f>
        <v>0</v>
      </c>
      <c r="DP60" s="216" t="str">
        <f t="shared" si="285"/>
        <v/>
      </c>
      <c r="DQ60" s="217" t="str">
        <f t="shared" si="286"/>
        <v/>
      </c>
      <c r="DR60" s="217" t="str">
        <f t="shared" si="287"/>
        <v/>
      </c>
      <c r="DS60" s="49" t="str">
        <f t="shared" si="210"/>
        <v/>
      </c>
      <c r="DT60" s="123">
        <f t="shared" si="211"/>
        <v>0</v>
      </c>
      <c r="DU60" s="123">
        <f t="shared" si="212"/>
        <v>0</v>
      </c>
      <c r="DV60" s="123">
        <f t="shared" si="213"/>
        <v>0</v>
      </c>
      <c r="DW60" s="215">
        <f>IF(DS60="",0,MAX(DT60:DU60:DV60))</f>
        <v>0</v>
      </c>
      <c r="DX60" s="216" t="str">
        <f t="shared" si="288"/>
        <v/>
      </c>
      <c r="DY60" s="217" t="str">
        <f t="shared" si="289"/>
        <v/>
      </c>
      <c r="DZ60" s="217" t="str">
        <f t="shared" si="290"/>
        <v/>
      </c>
      <c r="EA60" s="49" t="str">
        <f t="shared" si="214"/>
        <v/>
      </c>
      <c r="EB60" s="123">
        <f t="shared" si="215"/>
        <v>0</v>
      </c>
      <c r="EC60" s="123">
        <f t="shared" si="216"/>
        <v>0</v>
      </c>
      <c r="ED60" s="123">
        <f t="shared" si="217"/>
        <v>0</v>
      </c>
      <c r="EE60" s="215">
        <f>IF(EA60="",0,MAX(EB60:EC60:ED60))</f>
        <v>0</v>
      </c>
      <c r="EF60" s="216" t="str">
        <f t="shared" si="291"/>
        <v/>
      </c>
      <c r="EG60" s="217" t="str">
        <f t="shared" si="292"/>
        <v/>
      </c>
      <c r="EH60" s="217" t="str">
        <f t="shared" si="293"/>
        <v/>
      </c>
      <c r="EI60" s="49" t="str">
        <f t="shared" si="218"/>
        <v/>
      </c>
      <c r="EJ60" s="123">
        <f t="shared" si="219"/>
        <v>0</v>
      </c>
      <c r="EK60" s="123">
        <f t="shared" si="220"/>
        <v>0</v>
      </c>
      <c r="EL60" s="123">
        <f t="shared" si="221"/>
        <v>0</v>
      </c>
      <c r="EM60" s="215">
        <f>IF(EI60="",0,MAX(EJ60:EK60:EL60))</f>
        <v>0</v>
      </c>
      <c r="EN60" s="216" t="str">
        <f t="shared" si="294"/>
        <v/>
      </c>
      <c r="EO60" s="217" t="str">
        <f t="shared" si="295"/>
        <v/>
      </c>
      <c r="EP60" s="217" t="str">
        <f t="shared" si="296"/>
        <v/>
      </c>
      <c r="EQ60" s="49" t="str">
        <f t="shared" si="222"/>
        <v/>
      </c>
      <c r="ER60" s="123">
        <f t="shared" si="223"/>
        <v>0</v>
      </c>
      <c r="ES60" s="123">
        <f t="shared" si="224"/>
        <v>0</v>
      </c>
      <c r="ET60" s="123">
        <f t="shared" si="225"/>
        <v>0</v>
      </c>
      <c r="EU60" s="215">
        <f>IF(EQ60="",0,MAX(ER60:ES60:ET60))</f>
        <v>0</v>
      </c>
      <c r="EV60" s="216" t="str">
        <f t="shared" si="297"/>
        <v/>
      </c>
      <c r="EW60" s="217" t="str">
        <f t="shared" si="298"/>
        <v/>
      </c>
      <c r="EX60" s="217" t="str">
        <f t="shared" si="299"/>
        <v/>
      </c>
      <c r="EY60" s="49" t="str">
        <f t="shared" si="226"/>
        <v/>
      </c>
      <c r="EZ60" s="123">
        <f t="shared" si="227"/>
        <v>0</v>
      </c>
      <c r="FA60" s="123">
        <f t="shared" si="228"/>
        <v>0</v>
      </c>
      <c r="FB60" s="123">
        <f t="shared" si="229"/>
        <v>0</v>
      </c>
      <c r="FC60" s="215">
        <f>IF(EY60="",0,MAX(EZ60:FA60:FB60))</f>
        <v>0</v>
      </c>
      <c r="FD60" s="216" t="str">
        <f t="shared" si="300"/>
        <v/>
      </c>
      <c r="FE60" s="217" t="str">
        <f t="shared" si="301"/>
        <v/>
      </c>
      <c r="FF60" s="217" t="str">
        <f t="shared" si="302"/>
        <v/>
      </c>
      <c r="FG60" s="49" t="str">
        <f t="shared" si="230"/>
        <v/>
      </c>
      <c r="FH60" s="123">
        <f t="shared" si="231"/>
        <v>0</v>
      </c>
      <c r="FI60" s="123">
        <f t="shared" si="232"/>
        <v>0</v>
      </c>
      <c r="FJ60" s="123">
        <f t="shared" si="233"/>
        <v>0</v>
      </c>
      <c r="FK60" s="215">
        <f>IF(FG60="",0,MAX(FH60:FI60:FJ60))</f>
        <v>0</v>
      </c>
      <c r="FL60" s="216" t="str">
        <f t="shared" si="303"/>
        <v/>
      </c>
      <c r="FM60" s="217" t="str">
        <f t="shared" si="304"/>
        <v/>
      </c>
      <c r="FN60" s="217" t="str">
        <f t="shared" si="305"/>
        <v/>
      </c>
      <c r="FO60" s="49" t="str">
        <f t="shared" si="234"/>
        <v/>
      </c>
      <c r="FP60" s="123">
        <f t="shared" si="235"/>
        <v>0</v>
      </c>
      <c r="FQ60" s="123">
        <f t="shared" si="236"/>
        <v>0</v>
      </c>
      <c r="FR60" s="123">
        <f t="shared" si="237"/>
        <v>0</v>
      </c>
      <c r="FS60" s="215">
        <f>IF(FO60="",0,MAX(FP60:FQ60:FR60))</f>
        <v>0</v>
      </c>
      <c r="FT60" s="216" t="str">
        <f t="shared" si="306"/>
        <v/>
      </c>
      <c r="FU60" s="217" t="str">
        <f t="shared" si="307"/>
        <v/>
      </c>
      <c r="FV60" s="217" t="str">
        <f t="shared" si="308"/>
        <v/>
      </c>
      <c r="FW60" s="49" t="str">
        <f t="shared" si="238"/>
        <v/>
      </c>
      <c r="FX60" s="123">
        <f t="shared" si="239"/>
        <v>0</v>
      </c>
      <c r="FY60" s="123">
        <f t="shared" si="240"/>
        <v>0</v>
      </c>
      <c r="FZ60" s="123">
        <f t="shared" si="241"/>
        <v>0</v>
      </c>
      <c r="GA60" s="215">
        <f>IF(FW60="",0,MAX(FX60:FY60:FZ60))</f>
        <v>0</v>
      </c>
      <c r="GB60" s="216" t="str">
        <f t="shared" si="309"/>
        <v/>
      </c>
      <c r="GC60" s="217" t="str">
        <f t="shared" si="310"/>
        <v/>
      </c>
      <c r="GD60" s="217" t="str">
        <f t="shared" si="311"/>
        <v/>
      </c>
      <c r="GE60" s="49" t="str">
        <f t="shared" si="242"/>
        <v/>
      </c>
      <c r="GF60" s="123">
        <f t="shared" si="243"/>
        <v>0</v>
      </c>
      <c r="GG60" s="123">
        <f t="shared" si="244"/>
        <v>0</v>
      </c>
      <c r="GH60" s="123">
        <f t="shared" si="245"/>
        <v>0</v>
      </c>
      <c r="GI60" s="215">
        <f>IF(GE60="",0,MAX(GF60:GG60:GH60))</f>
        <v>0</v>
      </c>
      <c r="GJ60" s="216" t="str">
        <f t="shared" si="312"/>
        <v/>
      </c>
      <c r="GK60" s="217" t="str">
        <f t="shared" si="313"/>
        <v/>
      </c>
      <c r="GL60" s="217" t="str">
        <f t="shared" si="314"/>
        <v/>
      </c>
      <c r="GM60" s="49" t="str">
        <f t="shared" si="246"/>
        <v/>
      </c>
      <c r="GN60" s="123">
        <f t="shared" si="247"/>
        <v>0</v>
      </c>
      <c r="GO60" s="123">
        <f t="shared" si="248"/>
        <v>0</v>
      </c>
      <c r="GP60" s="123">
        <f t="shared" si="249"/>
        <v>0</v>
      </c>
      <c r="GQ60" s="215">
        <f>IF(GM60="",0,MAX(GN60:GO60:GP60))</f>
        <v>0</v>
      </c>
      <c r="GR60" s="216" t="str">
        <f t="shared" si="315"/>
        <v/>
      </c>
      <c r="GS60" s="217" t="str">
        <f t="shared" si="316"/>
        <v/>
      </c>
      <c r="GT60" s="217" t="str">
        <f t="shared" si="317"/>
        <v/>
      </c>
      <c r="GU60" s="49" t="str">
        <f t="shared" si="250"/>
        <v/>
      </c>
      <c r="GV60" s="123">
        <f t="shared" si="251"/>
        <v>0</v>
      </c>
      <c r="GW60" s="123">
        <f t="shared" si="252"/>
        <v>0</v>
      </c>
      <c r="GX60" s="123">
        <f t="shared" si="253"/>
        <v>0</v>
      </c>
      <c r="GY60" s="215">
        <f>IF(GU60="",0,MAX(GV60:GW60:GX60))</f>
        <v>0</v>
      </c>
      <c r="GZ60" s="216" t="str">
        <f t="shared" si="318"/>
        <v/>
      </c>
      <c r="HA60" s="217" t="str">
        <f t="shared" si="319"/>
        <v/>
      </c>
      <c r="HB60" s="217" t="str">
        <f t="shared" si="320"/>
        <v/>
      </c>
      <c r="HC60" s="49" t="str">
        <f t="shared" si="254"/>
        <v/>
      </c>
      <c r="HD60" s="123">
        <f t="shared" si="255"/>
        <v>0</v>
      </c>
      <c r="HE60" s="123">
        <f t="shared" si="256"/>
        <v>0</v>
      </c>
      <c r="HF60" s="123">
        <f t="shared" si="257"/>
        <v>0</v>
      </c>
      <c r="HG60" s="215">
        <f>IF(HC60="",0,MAX(HD60:HE60:HF60))</f>
        <v>0</v>
      </c>
      <c r="HH60" s="216" t="str">
        <f t="shared" si="321"/>
        <v/>
      </c>
      <c r="HI60" s="217" t="str">
        <f t="shared" si="322"/>
        <v/>
      </c>
      <c r="HJ60" s="217" t="str">
        <f t="shared" si="323"/>
        <v/>
      </c>
      <c r="HK60" s="49" t="str">
        <f t="shared" si="258"/>
        <v/>
      </c>
      <c r="HL60" s="123">
        <f t="shared" si="259"/>
        <v>0</v>
      </c>
      <c r="HM60" s="123">
        <f t="shared" si="260"/>
        <v>0</v>
      </c>
      <c r="HN60" s="123">
        <f t="shared" si="261"/>
        <v>0</v>
      </c>
      <c r="HO60" s="215">
        <f>IF(HK60="",0,MAX(HL60:HM60:HN60))</f>
        <v>0</v>
      </c>
      <c r="HP60" s="216" t="str">
        <f t="shared" si="324"/>
        <v/>
      </c>
      <c r="HQ60" s="217" t="str">
        <f t="shared" si="325"/>
        <v/>
      </c>
      <c r="HR60" s="217" t="str">
        <f t="shared" si="326"/>
        <v/>
      </c>
      <c r="HS60" s="49" t="str">
        <f t="shared" si="262"/>
        <v/>
      </c>
      <c r="HT60" s="123">
        <f t="shared" si="263"/>
        <v>0</v>
      </c>
      <c r="HU60" s="123">
        <f t="shared" si="264"/>
        <v>0</v>
      </c>
      <c r="HV60" s="123">
        <f t="shared" si="265"/>
        <v>0</v>
      </c>
      <c r="HW60" s="215">
        <f>IF(HS60="",0,MAX(HT60:HU60:HV60))</f>
        <v>0</v>
      </c>
      <c r="HX60" s="216" t="str">
        <f t="shared" si="327"/>
        <v/>
      </c>
      <c r="HY60" s="217" t="str">
        <f t="shared" si="328"/>
        <v/>
      </c>
      <c r="HZ60" s="217" t="str">
        <f t="shared" si="329"/>
        <v/>
      </c>
      <c r="IA60" s="49" t="str">
        <f t="shared" si="266"/>
        <v/>
      </c>
      <c r="IB60" s="123">
        <f t="shared" si="267"/>
        <v>0</v>
      </c>
      <c r="IC60" s="123">
        <f t="shared" si="268"/>
        <v>0</v>
      </c>
      <c r="ID60" s="123">
        <f t="shared" si="269"/>
        <v>0</v>
      </c>
      <c r="IE60" s="215">
        <f>IF(IA60="",0,MAX(IB60:IC60:ID60))</f>
        <v>0</v>
      </c>
      <c r="IF60" s="216" t="str">
        <f t="shared" si="330"/>
        <v/>
      </c>
      <c r="IG60" s="217" t="str">
        <f t="shared" si="331"/>
        <v/>
      </c>
      <c r="IH60" s="217" t="str">
        <f t="shared" si="332"/>
        <v/>
      </c>
      <c r="II60" s="49" t="str">
        <f t="shared" si="270"/>
        <v/>
      </c>
      <c r="IJ60" s="123">
        <f t="shared" si="271"/>
        <v>0</v>
      </c>
      <c r="IK60" s="123">
        <f t="shared" si="272"/>
        <v>0</v>
      </c>
      <c r="IL60" s="123">
        <f t="shared" si="273"/>
        <v>0</v>
      </c>
      <c r="IM60" s="215">
        <f>IF(II60="",0,MAX(IJ60:IK60:IL60))</f>
        <v>0</v>
      </c>
      <c r="IN60" s="216" t="str">
        <f t="shared" si="333"/>
        <v/>
      </c>
      <c r="IO60" s="217" t="str">
        <f t="shared" si="334"/>
        <v/>
      </c>
      <c r="IP60" s="217" t="str">
        <f t="shared" si="335"/>
        <v/>
      </c>
      <c r="IQ60" s="49" t="str">
        <f t="shared" si="274"/>
        <v/>
      </c>
      <c r="IR60" s="123">
        <f t="shared" si="275"/>
        <v>0</v>
      </c>
      <c r="IS60" s="123">
        <f t="shared" si="276"/>
        <v>0</v>
      </c>
      <c r="IT60" s="123">
        <f t="shared" si="277"/>
        <v>0</v>
      </c>
      <c r="IU60" s="215">
        <f>IF(IQ60="",0,MAX(IR60:IS60:IT60))</f>
        <v>0</v>
      </c>
    </row>
    <row r="61" spans="1:255" ht="13.3" thickTop="1" thickBot="1" x14ac:dyDescent="0.35">
      <c r="AV61" s="345" t="str">
        <f t="shared" si="345"/>
        <v/>
      </c>
      <c r="BF61" s="345">
        <f t="shared" si="336"/>
        <v>1</v>
      </c>
      <c r="BG61" s="347" t="str">
        <f t="shared" si="337"/>
        <v/>
      </c>
      <c r="BH61" s="347" t="str">
        <f t="shared" si="338"/>
        <v/>
      </c>
      <c r="BI61" s="347" t="str">
        <f t="shared" si="339"/>
        <v/>
      </c>
      <c r="BJ61" s="347" t="str">
        <f t="shared" si="340"/>
        <v/>
      </c>
      <c r="BK61" s="347" t="str">
        <f t="shared" si="341"/>
        <v/>
      </c>
      <c r="BL61" s="347" t="str">
        <f t="shared" si="342"/>
        <v/>
      </c>
      <c r="BN61" s="67"/>
      <c r="BO61" s="67"/>
      <c r="CW61" s="209" t="str">
        <f t="shared" si="343"/>
        <v/>
      </c>
      <c r="CX61" s="204" t="str">
        <f t="shared" si="201"/>
        <v/>
      </c>
      <c r="CY61" s="43">
        <f t="shared" si="279"/>
        <v>0</v>
      </c>
      <c r="CZ61" s="214">
        <f t="shared" si="344"/>
        <v>0</v>
      </c>
      <c r="DA61" s="45">
        <f t="shared" si="280"/>
        <v>0</v>
      </c>
      <c r="DB61" s="46">
        <f t="shared" si="202"/>
        <v>0</v>
      </c>
      <c r="DC61" s="47" t="str">
        <f t="shared" si="281"/>
        <v/>
      </c>
      <c r="DD61" s="123">
        <f t="shared" si="203"/>
        <v>0</v>
      </c>
      <c r="DE61" s="123">
        <f t="shared" si="204"/>
        <v>0</v>
      </c>
      <c r="DF61" s="123">
        <f t="shared" si="205"/>
        <v>0</v>
      </c>
      <c r="DG61" s="215">
        <f>IF(DC61="",0,MAX(DD61:DE61:DF61))</f>
        <v>0</v>
      </c>
      <c r="DH61" s="216" t="str">
        <f t="shared" si="282"/>
        <v/>
      </c>
      <c r="DI61" s="217" t="str">
        <f t="shared" si="283"/>
        <v/>
      </c>
      <c r="DJ61" s="217" t="str">
        <f t="shared" si="284"/>
        <v/>
      </c>
      <c r="DK61" s="49" t="str">
        <f t="shared" si="206"/>
        <v/>
      </c>
      <c r="DL61" s="123">
        <f t="shared" si="207"/>
        <v>0</v>
      </c>
      <c r="DM61" s="123">
        <f t="shared" si="208"/>
        <v>0</v>
      </c>
      <c r="DN61" s="123">
        <f t="shared" si="209"/>
        <v>0</v>
      </c>
      <c r="DO61" s="215">
        <f>IF(DK61="",0,MAX(DL61:DM61:DN61))</f>
        <v>0</v>
      </c>
      <c r="DP61" s="216" t="str">
        <f t="shared" si="285"/>
        <v/>
      </c>
      <c r="DQ61" s="217" t="str">
        <f t="shared" si="286"/>
        <v/>
      </c>
      <c r="DR61" s="217" t="str">
        <f t="shared" si="287"/>
        <v/>
      </c>
      <c r="DS61" s="49" t="str">
        <f t="shared" si="210"/>
        <v/>
      </c>
      <c r="DT61" s="123">
        <f t="shared" si="211"/>
        <v>0</v>
      </c>
      <c r="DU61" s="123">
        <f t="shared" si="212"/>
        <v>0</v>
      </c>
      <c r="DV61" s="123">
        <f t="shared" si="213"/>
        <v>0</v>
      </c>
      <c r="DW61" s="215">
        <f>IF(DS61="",0,MAX(DT61:DU61:DV61))</f>
        <v>0</v>
      </c>
      <c r="DX61" s="216" t="str">
        <f t="shared" si="288"/>
        <v/>
      </c>
      <c r="DY61" s="217" t="str">
        <f t="shared" si="289"/>
        <v/>
      </c>
      <c r="DZ61" s="217" t="str">
        <f t="shared" si="290"/>
        <v/>
      </c>
      <c r="EA61" s="49" t="str">
        <f t="shared" si="214"/>
        <v/>
      </c>
      <c r="EB61" s="123">
        <f t="shared" si="215"/>
        <v>0</v>
      </c>
      <c r="EC61" s="123">
        <f t="shared" si="216"/>
        <v>0</v>
      </c>
      <c r="ED61" s="123">
        <f t="shared" si="217"/>
        <v>0</v>
      </c>
      <c r="EE61" s="215">
        <f>IF(EA61="",0,MAX(EB61:EC61:ED61))</f>
        <v>0</v>
      </c>
      <c r="EF61" s="216" t="str">
        <f t="shared" si="291"/>
        <v/>
      </c>
      <c r="EG61" s="217" t="str">
        <f t="shared" si="292"/>
        <v/>
      </c>
      <c r="EH61" s="217" t="str">
        <f t="shared" si="293"/>
        <v/>
      </c>
      <c r="EI61" s="49" t="str">
        <f t="shared" si="218"/>
        <v/>
      </c>
      <c r="EJ61" s="123">
        <f t="shared" si="219"/>
        <v>0</v>
      </c>
      <c r="EK61" s="123">
        <f t="shared" si="220"/>
        <v>0</v>
      </c>
      <c r="EL61" s="123">
        <f t="shared" si="221"/>
        <v>0</v>
      </c>
      <c r="EM61" s="215">
        <f>IF(EI61="",0,MAX(EJ61:EK61:EL61))</f>
        <v>0</v>
      </c>
      <c r="EN61" s="216" t="str">
        <f t="shared" si="294"/>
        <v/>
      </c>
      <c r="EO61" s="217" t="str">
        <f t="shared" si="295"/>
        <v/>
      </c>
      <c r="EP61" s="217" t="str">
        <f t="shared" si="296"/>
        <v/>
      </c>
      <c r="EQ61" s="49" t="str">
        <f t="shared" si="222"/>
        <v/>
      </c>
      <c r="ER61" s="123">
        <f t="shared" si="223"/>
        <v>0</v>
      </c>
      <c r="ES61" s="123">
        <f t="shared" si="224"/>
        <v>0</v>
      </c>
      <c r="ET61" s="123">
        <f t="shared" si="225"/>
        <v>0</v>
      </c>
      <c r="EU61" s="215">
        <f>IF(EQ61="",0,MAX(ER61:ES61:ET61))</f>
        <v>0</v>
      </c>
      <c r="EV61" s="216" t="str">
        <f t="shared" si="297"/>
        <v/>
      </c>
      <c r="EW61" s="217" t="str">
        <f t="shared" si="298"/>
        <v/>
      </c>
      <c r="EX61" s="217" t="str">
        <f t="shared" si="299"/>
        <v/>
      </c>
      <c r="EY61" s="49" t="str">
        <f t="shared" si="226"/>
        <v/>
      </c>
      <c r="EZ61" s="123">
        <f t="shared" si="227"/>
        <v>0</v>
      </c>
      <c r="FA61" s="123">
        <f t="shared" si="228"/>
        <v>0</v>
      </c>
      <c r="FB61" s="123">
        <f t="shared" si="229"/>
        <v>0</v>
      </c>
      <c r="FC61" s="215">
        <f>IF(EY61="",0,MAX(EZ61:FA61:FB61))</f>
        <v>0</v>
      </c>
      <c r="FD61" s="216" t="str">
        <f t="shared" si="300"/>
        <v/>
      </c>
      <c r="FE61" s="217" t="str">
        <f t="shared" si="301"/>
        <v/>
      </c>
      <c r="FF61" s="217" t="str">
        <f t="shared" si="302"/>
        <v/>
      </c>
      <c r="FG61" s="49" t="str">
        <f t="shared" si="230"/>
        <v/>
      </c>
      <c r="FH61" s="123">
        <f t="shared" si="231"/>
        <v>0</v>
      </c>
      <c r="FI61" s="123">
        <f t="shared" si="232"/>
        <v>0</v>
      </c>
      <c r="FJ61" s="123">
        <f t="shared" si="233"/>
        <v>0</v>
      </c>
      <c r="FK61" s="215">
        <f>IF(FG61="",0,MAX(FH61:FI61:FJ61))</f>
        <v>0</v>
      </c>
      <c r="FL61" s="216" t="str">
        <f t="shared" si="303"/>
        <v/>
      </c>
      <c r="FM61" s="217" t="str">
        <f t="shared" si="304"/>
        <v/>
      </c>
      <c r="FN61" s="217" t="str">
        <f t="shared" si="305"/>
        <v/>
      </c>
      <c r="FO61" s="49" t="str">
        <f t="shared" si="234"/>
        <v/>
      </c>
      <c r="FP61" s="123">
        <f t="shared" si="235"/>
        <v>0</v>
      </c>
      <c r="FQ61" s="123">
        <f t="shared" si="236"/>
        <v>0</v>
      </c>
      <c r="FR61" s="123">
        <f t="shared" si="237"/>
        <v>0</v>
      </c>
      <c r="FS61" s="215">
        <f>IF(FO61="",0,MAX(FP61:FQ61:FR61))</f>
        <v>0</v>
      </c>
      <c r="FT61" s="216" t="str">
        <f t="shared" si="306"/>
        <v/>
      </c>
      <c r="FU61" s="217" t="str">
        <f t="shared" si="307"/>
        <v/>
      </c>
      <c r="FV61" s="217" t="str">
        <f t="shared" si="308"/>
        <v/>
      </c>
      <c r="FW61" s="49" t="str">
        <f t="shared" si="238"/>
        <v/>
      </c>
      <c r="FX61" s="123">
        <f t="shared" si="239"/>
        <v>0</v>
      </c>
      <c r="FY61" s="123">
        <f t="shared" si="240"/>
        <v>0</v>
      </c>
      <c r="FZ61" s="123">
        <f t="shared" si="241"/>
        <v>0</v>
      </c>
      <c r="GA61" s="215">
        <f>IF(FW61="",0,MAX(FX61:FY61:FZ61))</f>
        <v>0</v>
      </c>
      <c r="GB61" s="216" t="str">
        <f t="shared" si="309"/>
        <v/>
      </c>
      <c r="GC61" s="217" t="str">
        <f t="shared" si="310"/>
        <v/>
      </c>
      <c r="GD61" s="217" t="str">
        <f t="shared" si="311"/>
        <v/>
      </c>
      <c r="GE61" s="49" t="str">
        <f t="shared" si="242"/>
        <v/>
      </c>
      <c r="GF61" s="123">
        <f t="shared" si="243"/>
        <v>0</v>
      </c>
      <c r="GG61" s="123">
        <f t="shared" si="244"/>
        <v>0</v>
      </c>
      <c r="GH61" s="123">
        <f t="shared" si="245"/>
        <v>0</v>
      </c>
      <c r="GI61" s="215">
        <f>IF(GE61="",0,MAX(GF61:GG61:GH61))</f>
        <v>0</v>
      </c>
      <c r="GJ61" s="216" t="str">
        <f t="shared" si="312"/>
        <v/>
      </c>
      <c r="GK61" s="217" t="str">
        <f t="shared" si="313"/>
        <v/>
      </c>
      <c r="GL61" s="217" t="str">
        <f t="shared" si="314"/>
        <v/>
      </c>
      <c r="GM61" s="49" t="str">
        <f t="shared" si="246"/>
        <v/>
      </c>
      <c r="GN61" s="123">
        <f t="shared" si="247"/>
        <v>0</v>
      </c>
      <c r="GO61" s="123">
        <f t="shared" si="248"/>
        <v>0</v>
      </c>
      <c r="GP61" s="123">
        <f t="shared" si="249"/>
        <v>0</v>
      </c>
      <c r="GQ61" s="215">
        <f>IF(GM61="",0,MAX(GN61:GO61:GP61))</f>
        <v>0</v>
      </c>
      <c r="GR61" s="216" t="str">
        <f t="shared" si="315"/>
        <v/>
      </c>
      <c r="GS61" s="217" t="str">
        <f t="shared" si="316"/>
        <v/>
      </c>
      <c r="GT61" s="217" t="str">
        <f t="shared" si="317"/>
        <v/>
      </c>
      <c r="GU61" s="49" t="str">
        <f t="shared" si="250"/>
        <v/>
      </c>
      <c r="GV61" s="123">
        <f t="shared" si="251"/>
        <v>0</v>
      </c>
      <c r="GW61" s="123">
        <f t="shared" si="252"/>
        <v>0</v>
      </c>
      <c r="GX61" s="123">
        <f t="shared" si="253"/>
        <v>0</v>
      </c>
      <c r="GY61" s="215">
        <f>IF(GU61="",0,MAX(GV61:GW61:GX61))</f>
        <v>0</v>
      </c>
      <c r="GZ61" s="216" t="str">
        <f t="shared" si="318"/>
        <v/>
      </c>
      <c r="HA61" s="217" t="str">
        <f t="shared" si="319"/>
        <v/>
      </c>
      <c r="HB61" s="217" t="str">
        <f t="shared" si="320"/>
        <v/>
      </c>
      <c r="HC61" s="49" t="str">
        <f t="shared" si="254"/>
        <v/>
      </c>
      <c r="HD61" s="123">
        <f t="shared" si="255"/>
        <v>0</v>
      </c>
      <c r="HE61" s="123">
        <f t="shared" si="256"/>
        <v>0</v>
      </c>
      <c r="HF61" s="123">
        <f t="shared" si="257"/>
        <v>0</v>
      </c>
      <c r="HG61" s="215">
        <f>IF(HC61="",0,MAX(HD61:HE61:HF61))</f>
        <v>0</v>
      </c>
      <c r="HH61" s="216" t="str">
        <f t="shared" si="321"/>
        <v/>
      </c>
      <c r="HI61" s="217" t="str">
        <f t="shared" si="322"/>
        <v/>
      </c>
      <c r="HJ61" s="217" t="str">
        <f t="shared" si="323"/>
        <v/>
      </c>
      <c r="HK61" s="49" t="str">
        <f t="shared" si="258"/>
        <v/>
      </c>
      <c r="HL61" s="123">
        <f t="shared" si="259"/>
        <v>0</v>
      </c>
      <c r="HM61" s="123">
        <f t="shared" si="260"/>
        <v>0</v>
      </c>
      <c r="HN61" s="123">
        <f t="shared" si="261"/>
        <v>0</v>
      </c>
      <c r="HO61" s="215">
        <f>IF(HK61="",0,MAX(HL61:HM61:HN61))</f>
        <v>0</v>
      </c>
      <c r="HP61" s="216" t="str">
        <f t="shared" si="324"/>
        <v/>
      </c>
      <c r="HQ61" s="217" t="str">
        <f t="shared" si="325"/>
        <v/>
      </c>
      <c r="HR61" s="217" t="str">
        <f t="shared" si="326"/>
        <v/>
      </c>
      <c r="HS61" s="49" t="str">
        <f t="shared" si="262"/>
        <v/>
      </c>
      <c r="HT61" s="123">
        <f t="shared" si="263"/>
        <v>0</v>
      </c>
      <c r="HU61" s="123">
        <f t="shared" si="264"/>
        <v>0</v>
      </c>
      <c r="HV61" s="123">
        <f t="shared" si="265"/>
        <v>0</v>
      </c>
      <c r="HW61" s="215">
        <f>IF(HS61="",0,MAX(HT61:HU61:HV61))</f>
        <v>0</v>
      </c>
      <c r="HX61" s="216" t="str">
        <f t="shared" si="327"/>
        <v/>
      </c>
      <c r="HY61" s="217" t="str">
        <f t="shared" si="328"/>
        <v/>
      </c>
      <c r="HZ61" s="217" t="str">
        <f t="shared" si="329"/>
        <v/>
      </c>
      <c r="IA61" s="49" t="str">
        <f t="shared" si="266"/>
        <v/>
      </c>
      <c r="IB61" s="123">
        <f t="shared" si="267"/>
        <v>0</v>
      </c>
      <c r="IC61" s="123">
        <f t="shared" si="268"/>
        <v>0</v>
      </c>
      <c r="ID61" s="123">
        <f t="shared" si="269"/>
        <v>0</v>
      </c>
      <c r="IE61" s="215">
        <f>IF(IA61="",0,MAX(IB61:IC61:ID61))</f>
        <v>0</v>
      </c>
      <c r="IF61" s="216" t="str">
        <f t="shared" si="330"/>
        <v/>
      </c>
      <c r="IG61" s="217" t="str">
        <f t="shared" si="331"/>
        <v/>
      </c>
      <c r="IH61" s="217" t="str">
        <f t="shared" si="332"/>
        <v/>
      </c>
      <c r="II61" s="49" t="str">
        <f t="shared" si="270"/>
        <v/>
      </c>
      <c r="IJ61" s="123">
        <f t="shared" si="271"/>
        <v>0</v>
      </c>
      <c r="IK61" s="123">
        <f t="shared" si="272"/>
        <v>0</v>
      </c>
      <c r="IL61" s="123">
        <f t="shared" si="273"/>
        <v>0</v>
      </c>
      <c r="IM61" s="215">
        <f>IF(II61="",0,MAX(IJ61:IK61:IL61))</f>
        <v>0</v>
      </c>
      <c r="IN61" s="216" t="str">
        <f t="shared" si="333"/>
        <v/>
      </c>
      <c r="IO61" s="217" t="str">
        <f t="shared" si="334"/>
        <v/>
      </c>
      <c r="IP61" s="217" t="str">
        <f t="shared" si="335"/>
        <v/>
      </c>
      <c r="IQ61" s="49" t="str">
        <f t="shared" si="274"/>
        <v/>
      </c>
      <c r="IR61" s="123">
        <f t="shared" si="275"/>
        <v>0</v>
      </c>
      <c r="IS61" s="123">
        <f t="shared" si="276"/>
        <v>0</v>
      </c>
      <c r="IT61" s="123">
        <f t="shared" si="277"/>
        <v>0</v>
      </c>
      <c r="IU61" s="215">
        <f>IF(IQ61="",0,MAX(IR61:IS61:IT61))</f>
        <v>0</v>
      </c>
    </row>
    <row r="62" spans="1:255" ht="13.3" thickTop="1" thickBot="1" x14ac:dyDescent="0.35">
      <c r="AV62" s="345" t="str">
        <f t="shared" si="345"/>
        <v/>
      </c>
      <c r="BF62" s="345">
        <f t="shared" si="336"/>
        <v>1</v>
      </c>
      <c r="BG62" s="347" t="str">
        <f t="shared" si="337"/>
        <v/>
      </c>
      <c r="BH62" s="347" t="str">
        <f t="shared" si="338"/>
        <v/>
      </c>
      <c r="BI62" s="347" t="str">
        <f t="shared" si="339"/>
        <v/>
      </c>
      <c r="BJ62" s="347" t="str">
        <f t="shared" si="340"/>
        <v/>
      </c>
      <c r="BK62" s="347" t="str">
        <f t="shared" si="341"/>
        <v/>
      </c>
      <c r="BL62" s="347" t="str">
        <f t="shared" si="342"/>
        <v/>
      </c>
      <c r="BN62" s="67"/>
      <c r="BO62" s="67"/>
      <c r="CW62" s="209" t="str">
        <f t="shared" si="343"/>
        <v/>
      </c>
      <c r="CX62" s="204" t="str">
        <f t="shared" si="201"/>
        <v/>
      </c>
      <c r="CY62" s="43">
        <f t="shared" si="279"/>
        <v>0</v>
      </c>
      <c r="CZ62" s="214">
        <f t="shared" si="344"/>
        <v>0</v>
      </c>
      <c r="DA62" s="45">
        <f t="shared" si="280"/>
        <v>0</v>
      </c>
      <c r="DB62" s="46">
        <f t="shared" si="202"/>
        <v>0</v>
      </c>
      <c r="DC62" s="47" t="str">
        <f t="shared" si="281"/>
        <v/>
      </c>
      <c r="DD62" s="123">
        <f t="shared" si="203"/>
        <v>0</v>
      </c>
      <c r="DE62" s="123">
        <f t="shared" si="204"/>
        <v>0</v>
      </c>
      <c r="DF62" s="123">
        <f t="shared" si="205"/>
        <v>0</v>
      </c>
      <c r="DG62" s="215">
        <f>IF(DC62="",0,MAX(DD62:DE62:DF62))</f>
        <v>0</v>
      </c>
      <c r="DH62" s="216" t="str">
        <f t="shared" si="282"/>
        <v/>
      </c>
      <c r="DI62" s="217" t="str">
        <f t="shared" si="283"/>
        <v/>
      </c>
      <c r="DJ62" s="217" t="str">
        <f t="shared" si="284"/>
        <v/>
      </c>
      <c r="DK62" s="49" t="str">
        <f t="shared" si="206"/>
        <v/>
      </c>
      <c r="DL62" s="123">
        <f t="shared" si="207"/>
        <v>0</v>
      </c>
      <c r="DM62" s="123">
        <f t="shared" si="208"/>
        <v>0</v>
      </c>
      <c r="DN62" s="123">
        <f t="shared" si="209"/>
        <v>0</v>
      </c>
      <c r="DO62" s="215">
        <f>IF(DK62="",0,MAX(DL62:DM62:DN62))</f>
        <v>0</v>
      </c>
      <c r="DP62" s="216" t="str">
        <f t="shared" si="285"/>
        <v/>
      </c>
      <c r="DQ62" s="217" t="str">
        <f t="shared" si="286"/>
        <v/>
      </c>
      <c r="DR62" s="217" t="str">
        <f t="shared" si="287"/>
        <v/>
      </c>
      <c r="DS62" s="49" t="str">
        <f t="shared" si="210"/>
        <v/>
      </c>
      <c r="DT62" s="123">
        <f t="shared" si="211"/>
        <v>0</v>
      </c>
      <c r="DU62" s="123">
        <f t="shared" si="212"/>
        <v>0</v>
      </c>
      <c r="DV62" s="123">
        <f t="shared" si="213"/>
        <v>0</v>
      </c>
      <c r="DW62" s="215">
        <f>IF(DS62="",0,MAX(DT62:DU62:DV62))</f>
        <v>0</v>
      </c>
      <c r="DX62" s="216" t="str">
        <f t="shared" si="288"/>
        <v/>
      </c>
      <c r="DY62" s="217" t="str">
        <f t="shared" si="289"/>
        <v/>
      </c>
      <c r="DZ62" s="217" t="str">
        <f t="shared" si="290"/>
        <v/>
      </c>
      <c r="EA62" s="49" t="str">
        <f t="shared" si="214"/>
        <v/>
      </c>
      <c r="EB62" s="123">
        <f t="shared" si="215"/>
        <v>0</v>
      </c>
      <c r="EC62" s="123">
        <f t="shared" si="216"/>
        <v>0</v>
      </c>
      <c r="ED62" s="123">
        <f t="shared" si="217"/>
        <v>0</v>
      </c>
      <c r="EE62" s="215">
        <f>IF(EA62="",0,MAX(EB62:EC62:ED62))</f>
        <v>0</v>
      </c>
      <c r="EF62" s="216" t="str">
        <f t="shared" si="291"/>
        <v/>
      </c>
      <c r="EG62" s="217" t="str">
        <f t="shared" si="292"/>
        <v/>
      </c>
      <c r="EH62" s="217" t="str">
        <f t="shared" si="293"/>
        <v/>
      </c>
      <c r="EI62" s="49" t="str">
        <f t="shared" si="218"/>
        <v/>
      </c>
      <c r="EJ62" s="123">
        <f t="shared" si="219"/>
        <v>0</v>
      </c>
      <c r="EK62" s="123">
        <f t="shared" si="220"/>
        <v>0</v>
      </c>
      <c r="EL62" s="123">
        <f t="shared" si="221"/>
        <v>0</v>
      </c>
      <c r="EM62" s="215">
        <f>IF(EI62="",0,MAX(EJ62:EK62:EL62))</f>
        <v>0</v>
      </c>
      <c r="EN62" s="216" t="str">
        <f t="shared" si="294"/>
        <v/>
      </c>
      <c r="EO62" s="217" t="str">
        <f t="shared" si="295"/>
        <v/>
      </c>
      <c r="EP62" s="217" t="str">
        <f t="shared" si="296"/>
        <v/>
      </c>
      <c r="EQ62" s="49" t="str">
        <f t="shared" si="222"/>
        <v/>
      </c>
      <c r="ER62" s="123">
        <f t="shared" si="223"/>
        <v>0</v>
      </c>
      <c r="ES62" s="123">
        <f t="shared" si="224"/>
        <v>0</v>
      </c>
      <c r="ET62" s="123">
        <f t="shared" si="225"/>
        <v>0</v>
      </c>
      <c r="EU62" s="215">
        <f>IF(EQ62="",0,MAX(ER62:ES62:ET62))</f>
        <v>0</v>
      </c>
      <c r="EV62" s="216" t="str">
        <f t="shared" si="297"/>
        <v/>
      </c>
      <c r="EW62" s="217" t="str">
        <f t="shared" si="298"/>
        <v/>
      </c>
      <c r="EX62" s="217" t="str">
        <f t="shared" si="299"/>
        <v/>
      </c>
      <c r="EY62" s="49" t="str">
        <f t="shared" si="226"/>
        <v/>
      </c>
      <c r="EZ62" s="123">
        <f t="shared" si="227"/>
        <v>0</v>
      </c>
      <c r="FA62" s="123">
        <f t="shared" si="228"/>
        <v>0</v>
      </c>
      <c r="FB62" s="123">
        <f t="shared" si="229"/>
        <v>0</v>
      </c>
      <c r="FC62" s="215">
        <f>IF(EY62="",0,MAX(EZ62:FA62:FB62))</f>
        <v>0</v>
      </c>
      <c r="FD62" s="216" t="str">
        <f t="shared" si="300"/>
        <v/>
      </c>
      <c r="FE62" s="217" t="str">
        <f t="shared" si="301"/>
        <v/>
      </c>
      <c r="FF62" s="217" t="str">
        <f t="shared" si="302"/>
        <v/>
      </c>
      <c r="FG62" s="49" t="str">
        <f t="shared" si="230"/>
        <v/>
      </c>
      <c r="FH62" s="123">
        <f t="shared" si="231"/>
        <v>0</v>
      </c>
      <c r="FI62" s="123">
        <f t="shared" si="232"/>
        <v>0</v>
      </c>
      <c r="FJ62" s="123">
        <f t="shared" si="233"/>
        <v>0</v>
      </c>
      <c r="FK62" s="215">
        <f>IF(FG62="",0,MAX(FH62:FI62:FJ62))</f>
        <v>0</v>
      </c>
      <c r="FL62" s="216" t="str">
        <f t="shared" si="303"/>
        <v/>
      </c>
      <c r="FM62" s="217" t="str">
        <f t="shared" si="304"/>
        <v/>
      </c>
      <c r="FN62" s="217" t="str">
        <f t="shared" si="305"/>
        <v/>
      </c>
      <c r="FO62" s="49" t="str">
        <f t="shared" si="234"/>
        <v/>
      </c>
      <c r="FP62" s="123">
        <f t="shared" si="235"/>
        <v>0</v>
      </c>
      <c r="FQ62" s="123">
        <f t="shared" si="236"/>
        <v>0</v>
      </c>
      <c r="FR62" s="123">
        <f t="shared" si="237"/>
        <v>0</v>
      </c>
      <c r="FS62" s="215">
        <f>IF(FO62="",0,MAX(FP62:FQ62:FR62))</f>
        <v>0</v>
      </c>
      <c r="FT62" s="216" t="str">
        <f t="shared" si="306"/>
        <v/>
      </c>
      <c r="FU62" s="217" t="str">
        <f t="shared" si="307"/>
        <v/>
      </c>
      <c r="FV62" s="217" t="str">
        <f t="shared" si="308"/>
        <v/>
      </c>
      <c r="FW62" s="49" t="str">
        <f t="shared" si="238"/>
        <v/>
      </c>
      <c r="FX62" s="123">
        <f t="shared" si="239"/>
        <v>0</v>
      </c>
      <c r="FY62" s="123">
        <f t="shared" si="240"/>
        <v>0</v>
      </c>
      <c r="FZ62" s="123">
        <f t="shared" si="241"/>
        <v>0</v>
      </c>
      <c r="GA62" s="215">
        <f>IF(FW62="",0,MAX(FX62:FY62:FZ62))</f>
        <v>0</v>
      </c>
      <c r="GB62" s="216" t="str">
        <f t="shared" si="309"/>
        <v/>
      </c>
      <c r="GC62" s="217" t="str">
        <f t="shared" si="310"/>
        <v/>
      </c>
      <c r="GD62" s="217" t="str">
        <f t="shared" si="311"/>
        <v/>
      </c>
      <c r="GE62" s="49" t="str">
        <f t="shared" si="242"/>
        <v/>
      </c>
      <c r="GF62" s="123">
        <f t="shared" si="243"/>
        <v>0</v>
      </c>
      <c r="GG62" s="123">
        <f t="shared" si="244"/>
        <v>0</v>
      </c>
      <c r="GH62" s="123">
        <f t="shared" si="245"/>
        <v>0</v>
      </c>
      <c r="GI62" s="215">
        <f>IF(GE62="",0,MAX(GF62:GG62:GH62))</f>
        <v>0</v>
      </c>
      <c r="GJ62" s="216" t="str">
        <f t="shared" si="312"/>
        <v/>
      </c>
      <c r="GK62" s="217" t="str">
        <f t="shared" si="313"/>
        <v/>
      </c>
      <c r="GL62" s="217" t="str">
        <f t="shared" si="314"/>
        <v/>
      </c>
      <c r="GM62" s="49" t="str">
        <f t="shared" si="246"/>
        <v/>
      </c>
      <c r="GN62" s="123">
        <f t="shared" si="247"/>
        <v>0</v>
      </c>
      <c r="GO62" s="123">
        <f t="shared" si="248"/>
        <v>0</v>
      </c>
      <c r="GP62" s="123">
        <f t="shared" si="249"/>
        <v>0</v>
      </c>
      <c r="GQ62" s="215">
        <f>IF(GM62="",0,MAX(GN62:GO62:GP62))</f>
        <v>0</v>
      </c>
      <c r="GR62" s="216" t="str">
        <f t="shared" si="315"/>
        <v/>
      </c>
      <c r="GS62" s="217" t="str">
        <f t="shared" si="316"/>
        <v/>
      </c>
      <c r="GT62" s="217" t="str">
        <f t="shared" si="317"/>
        <v/>
      </c>
      <c r="GU62" s="49" t="str">
        <f t="shared" si="250"/>
        <v/>
      </c>
      <c r="GV62" s="123">
        <f t="shared" si="251"/>
        <v>0</v>
      </c>
      <c r="GW62" s="123">
        <f t="shared" si="252"/>
        <v>0</v>
      </c>
      <c r="GX62" s="123">
        <f t="shared" si="253"/>
        <v>0</v>
      </c>
      <c r="GY62" s="215">
        <f>IF(GU62="",0,MAX(GV62:GW62:GX62))</f>
        <v>0</v>
      </c>
      <c r="GZ62" s="216" t="str">
        <f t="shared" si="318"/>
        <v/>
      </c>
      <c r="HA62" s="217" t="str">
        <f t="shared" si="319"/>
        <v/>
      </c>
      <c r="HB62" s="217" t="str">
        <f t="shared" si="320"/>
        <v/>
      </c>
      <c r="HC62" s="49" t="str">
        <f t="shared" si="254"/>
        <v/>
      </c>
      <c r="HD62" s="123">
        <f t="shared" si="255"/>
        <v>0</v>
      </c>
      <c r="HE62" s="123">
        <f t="shared" si="256"/>
        <v>0</v>
      </c>
      <c r="HF62" s="123">
        <f t="shared" si="257"/>
        <v>0</v>
      </c>
      <c r="HG62" s="215">
        <f>IF(HC62="",0,MAX(HD62:HE62:HF62))</f>
        <v>0</v>
      </c>
      <c r="HH62" s="216" t="str">
        <f t="shared" si="321"/>
        <v/>
      </c>
      <c r="HI62" s="217" t="str">
        <f t="shared" si="322"/>
        <v/>
      </c>
      <c r="HJ62" s="217" t="str">
        <f t="shared" si="323"/>
        <v/>
      </c>
      <c r="HK62" s="49" t="str">
        <f t="shared" si="258"/>
        <v/>
      </c>
      <c r="HL62" s="123">
        <f t="shared" si="259"/>
        <v>0</v>
      </c>
      <c r="HM62" s="123">
        <f t="shared" si="260"/>
        <v>0</v>
      </c>
      <c r="HN62" s="123">
        <f t="shared" si="261"/>
        <v>0</v>
      </c>
      <c r="HO62" s="215">
        <f>IF(HK62="",0,MAX(HL62:HM62:HN62))</f>
        <v>0</v>
      </c>
      <c r="HP62" s="216" t="str">
        <f t="shared" si="324"/>
        <v/>
      </c>
      <c r="HQ62" s="217" t="str">
        <f t="shared" si="325"/>
        <v/>
      </c>
      <c r="HR62" s="217" t="str">
        <f t="shared" si="326"/>
        <v/>
      </c>
      <c r="HS62" s="49" t="str">
        <f t="shared" si="262"/>
        <v/>
      </c>
      <c r="HT62" s="123">
        <f t="shared" si="263"/>
        <v>0</v>
      </c>
      <c r="HU62" s="123">
        <f t="shared" si="264"/>
        <v>0</v>
      </c>
      <c r="HV62" s="123">
        <f t="shared" si="265"/>
        <v>0</v>
      </c>
      <c r="HW62" s="215">
        <f>IF(HS62="",0,MAX(HT62:HU62:HV62))</f>
        <v>0</v>
      </c>
      <c r="HX62" s="216" t="str">
        <f t="shared" si="327"/>
        <v/>
      </c>
      <c r="HY62" s="217" t="str">
        <f t="shared" si="328"/>
        <v/>
      </c>
      <c r="HZ62" s="217" t="str">
        <f t="shared" si="329"/>
        <v/>
      </c>
      <c r="IA62" s="49" t="str">
        <f t="shared" si="266"/>
        <v/>
      </c>
      <c r="IB62" s="123">
        <f t="shared" si="267"/>
        <v>0</v>
      </c>
      <c r="IC62" s="123">
        <f t="shared" si="268"/>
        <v>0</v>
      </c>
      <c r="ID62" s="123">
        <f t="shared" si="269"/>
        <v>0</v>
      </c>
      <c r="IE62" s="215">
        <f>IF(IA62="",0,MAX(IB62:IC62:ID62))</f>
        <v>0</v>
      </c>
      <c r="IF62" s="216" t="str">
        <f t="shared" si="330"/>
        <v/>
      </c>
      <c r="IG62" s="217" t="str">
        <f t="shared" si="331"/>
        <v/>
      </c>
      <c r="IH62" s="217" t="str">
        <f t="shared" si="332"/>
        <v/>
      </c>
      <c r="II62" s="49" t="str">
        <f t="shared" si="270"/>
        <v/>
      </c>
      <c r="IJ62" s="123">
        <f t="shared" si="271"/>
        <v>0</v>
      </c>
      <c r="IK62" s="123">
        <f t="shared" si="272"/>
        <v>0</v>
      </c>
      <c r="IL62" s="123">
        <f t="shared" si="273"/>
        <v>0</v>
      </c>
      <c r="IM62" s="215">
        <f>IF(II62="",0,MAX(IJ62:IK62:IL62))</f>
        <v>0</v>
      </c>
      <c r="IN62" s="216" t="str">
        <f t="shared" si="333"/>
        <v/>
      </c>
      <c r="IO62" s="217" t="str">
        <f t="shared" si="334"/>
        <v/>
      </c>
      <c r="IP62" s="217" t="str">
        <f t="shared" si="335"/>
        <v/>
      </c>
      <c r="IQ62" s="49" t="str">
        <f t="shared" si="274"/>
        <v/>
      </c>
      <c r="IR62" s="123">
        <f t="shared" si="275"/>
        <v>0</v>
      </c>
      <c r="IS62" s="123">
        <f t="shared" si="276"/>
        <v>0</v>
      </c>
      <c r="IT62" s="123">
        <f t="shared" si="277"/>
        <v>0</v>
      </c>
      <c r="IU62" s="215">
        <f>IF(IQ62="",0,MAX(IR62:IS62:IT62))</f>
        <v>0</v>
      </c>
    </row>
    <row r="63" spans="1:255" ht="13.3" thickTop="1" thickBot="1" x14ac:dyDescent="0.35">
      <c r="AV63" s="345" t="str">
        <f t="shared" si="345"/>
        <v/>
      </c>
      <c r="BF63" s="345">
        <f t="shared" si="336"/>
        <v>1</v>
      </c>
      <c r="BG63" s="347" t="str">
        <f t="shared" si="337"/>
        <v/>
      </c>
      <c r="BH63" s="347" t="str">
        <f t="shared" si="338"/>
        <v/>
      </c>
      <c r="BI63" s="347" t="str">
        <f t="shared" si="339"/>
        <v/>
      </c>
      <c r="BJ63" s="347" t="str">
        <f t="shared" si="340"/>
        <v/>
      </c>
      <c r="BK63" s="347" t="str">
        <f t="shared" si="341"/>
        <v/>
      </c>
      <c r="BL63" s="347" t="str">
        <f t="shared" si="342"/>
        <v/>
      </c>
      <c r="BN63" s="67"/>
      <c r="BO63" s="67"/>
      <c r="CW63" s="209" t="str">
        <f t="shared" si="343"/>
        <v/>
      </c>
      <c r="CX63" s="204" t="str">
        <f t="shared" si="201"/>
        <v/>
      </c>
      <c r="CY63" s="43">
        <f t="shared" si="279"/>
        <v>0</v>
      </c>
      <c r="CZ63" s="214">
        <f t="shared" si="344"/>
        <v>0</v>
      </c>
      <c r="DA63" s="45">
        <f t="shared" si="280"/>
        <v>0</v>
      </c>
      <c r="DB63" s="46">
        <f t="shared" si="202"/>
        <v>0</v>
      </c>
      <c r="DC63" s="47" t="str">
        <f t="shared" si="281"/>
        <v/>
      </c>
      <c r="DD63" s="123">
        <f t="shared" si="203"/>
        <v>0</v>
      </c>
      <c r="DE63" s="123">
        <f t="shared" si="204"/>
        <v>0</v>
      </c>
      <c r="DF63" s="123">
        <f t="shared" si="205"/>
        <v>0</v>
      </c>
      <c r="DG63" s="215">
        <f>IF(DC63="",0,MAX(DD63:DE63:DF63))</f>
        <v>0</v>
      </c>
      <c r="DH63" s="216" t="str">
        <f t="shared" si="282"/>
        <v/>
      </c>
      <c r="DI63" s="217" t="str">
        <f t="shared" si="283"/>
        <v/>
      </c>
      <c r="DJ63" s="217" t="str">
        <f t="shared" si="284"/>
        <v/>
      </c>
      <c r="DK63" s="49" t="str">
        <f t="shared" si="206"/>
        <v/>
      </c>
      <c r="DL63" s="123">
        <f t="shared" si="207"/>
        <v>0</v>
      </c>
      <c r="DM63" s="123">
        <f t="shared" si="208"/>
        <v>0</v>
      </c>
      <c r="DN63" s="123">
        <f t="shared" si="209"/>
        <v>0</v>
      </c>
      <c r="DO63" s="215">
        <f>IF(DK63="",0,MAX(DL63:DM63:DN63))</f>
        <v>0</v>
      </c>
      <c r="DP63" s="216" t="str">
        <f t="shared" si="285"/>
        <v/>
      </c>
      <c r="DQ63" s="217" t="str">
        <f t="shared" si="286"/>
        <v/>
      </c>
      <c r="DR63" s="217" t="str">
        <f t="shared" si="287"/>
        <v/>
      </c>
      <c r="DS63" s="49" t="str">
        <f t="shared" si="210"/>
        <v/>
      </c>
      <c r="DT63" s="123">
        <f t="shared" si="211"/>
        <v>0</v>
      </c>
      <c r="DU63" s="123">
        <f t="shared" si="212"/>
        <v>0</v>
      </c>
      <c r="DV63" s="123">
        <f t="shared" si="213"/>
        <v>0</v>
      </c>
      <c r="DW63" s="215">
        <f>IF(DS63="",0,MAX(DT63:DU63:DV63))</f>
        <v>0</v>
      </c>
      <c r="DX63" s="216" t="str">
        <f t="shared" si="288"/>
        <v/>
      </c>
      <c r="DY63" s="217" t="str">
        <f t="shared" si="289"/>
        <v/>
      </c>
      <c r="DZ63" s="217" t="str">
        <f t="shared" si="290"/>
        <v/>
      </c>
      <c r="EA63" s="49" t="str">
        <f t="shared" si="214"/>
        <v/>
      </c>
      <c r="EB63" s="123">
        <f t="shared" si="215"/>
        <v>0</v>
      </c>
      <c r="EC63" s="123">
        <f t="shared" si="216"/>
        <v>0</v>
      </c>
      <c r="ED63" s="123">
        <f t="shared" si="217"/>
        <v>0</v>
      </c>
      <c r="EE63" s="215">
        <f>IF(EA63="",0,MAX(EB63:EC63:ED63))</f>
        <v>0</v>
      </c>
      <c r="EF63" s="216" t="str">
        <f t="shared" si="291"/>
        <v/>
      </c>
      <c r="EG63" s="217" t="str">
        <f t="shared" si="292"/>
        <v/>
      </c>
      <c r="EH63" s="217" t="str">
        <f t="shared" si="293"/>
        <v/>
      </c>
      <c r="EI63" s="49" t="str">
        <f t="shared" si="218"/>
        <v/>
      </c>
      <c r="EJ63" s="123">
        <f t="shared" si="219"/>
        <v>0</v>
      </c>
      <c r="EK63" s="123">
        <f t="shared" si="220"/>
        <v>0</v>
      </c>
      <c r="EL63" s="123">
        <f t="shared" si="221"/>
        <v>0</v>
      </c>
      <c r="EM63" s="215">
        <f>IF(EI63="",0,MAX(EJ63:EK63:EL63))</f>
        <v>0</v>
      </c>
      <c r="EN63" s="216" t="str">
        <f t="shared" si="294"/>
        <v/>
      </c>
      <c r="EO63" s="217" t="str">
        <f t="shared" si="295"/>
        <v/>
      </c>
      <c r="EP63" s="217" t="str">
        <f t="shared" si="296"/>
        <v/>
      </c>
      <c r="EQ63" s="49" t="str">
        <f t="shared" si="222"/>
        <v/>
      </c>
      <c r="ER63" s="123">
        <f t="shared" si="223"/>
        <v>0</v>
      </c>
      <c r="ES63" s="123">
        <f t="shared" si="224"/>
        <v>0</v>
      </c>
      <c r="ET63" s="123">
        <f t="shared" si="225"/>
        <v>0</v>
      </c>
      <c r="EU63" s="215">
        <f>IF(EQ63="",0,MAX(ER63:ES63:ET63))</f>
        <v>0</v>
      </c>
      <c r="EV63" s="216" t="str">
        <f t="shared" si="297"/>
        <v/>
      </c>
      <c r="EW63" s="217" t="str">
        <f t="shared" si="298"/>
        <v/>
      </c>
      <c r="EX63" s="217" t="str">
        <f t="shared" si="299"/>
        <v/>
      </c>
      <c r="EY63" s="49" t="str">
        <f t="shared" si="226"/>
        <v/>
      </c>
      <c r="EZ63" s="123">
        <f t="shared" si="227"/>
        <v>0</v>
      </c>
      <c r="FA63" s="123">
        <f t="shared" si="228"/>
        <v>0</v>
      </c>
      <c r="FB63" s="123">
        <f t="shared" si="229"/>
        <v>0</v>
      </c>
      <c r="FC63" s="215">
        <f>IF(EY63="",0,MAX(EZ63:FA63:FB63))</f>
        <v>0</v>
      </c>
      <c r="FD63" s="216" t="str">
        <f t="shared" si="300"/>
        <v/>
      </c>
      <c r="FE63" s="217" t="str">
        <f t="shared" si="301"/>
        <v/>
      </c>
      <c r="FF63" s="217" t="str">
        <f t="shared" si="302"/>
        <v/>
      </c>
      <c r="FG63" s="49" t="str">
        <f t="shared" si="230"/>
        <v/>
      </c>
      <c r="FH63" s="123">
        <f t="shared" si="231"/>
        <v>0</v>
      </c>
      <c r="FI63" s="123">
        <f t="shared" si="232"/>
        <v>0</v>
      </c>
      <c r="FJ63" s="123">
        <f t="shared" si="233"/>
        <v>0</v>
      </c>
      <c r="FK63" s="215">
        <f>IF(FG63="",0,MAX(FH63:FI63:FJ63))</f>
        <v>0</v>
      </c>
      <c r="FL63" s="216" t="str">
        <f t="shared" si="303"/>
        <v/>
      </c>
      <c r="FM63" s="217" t="str">
        <f t="shared" si="304"/>
        <v/>
      </c>
      <c r="FN63" s="217" t="str">
        <f t="shared" si="305"/>
        <v/>
      </c>
      <c r="FO63" s="49" t="str">
        <f t="shared" si="234"/>
        <v/>
      </c>
      <c r="FP63" s="123">
        <f t="shared" si="235"/>
        <v>0</v>
      </c>
      <c r="FQ63" s="123">
        <f t="shared" si="236"/>
        <v>0</v>
      </c>
      <c r="FR63" s="123">
        <f t="shared" si="237"/>
        <v>0</v>
      </c>
      <c r="FS63" s="215">
        <f>IF(FO63="",0,MAX(FP63:FQ63:FR63))</f>
        <v>0</v>
      </c>
      <c r="FT63" s="216" t="str">
        <f t="shared" si="306"/>
        <v/>
      </c>
      <c r="FU63" s="217" t="str">
        <f t="shared" si="307"/>
        <v/>
      </c>
      <c r="FV63" s="217" t="str">
        <f t="shared" si="308"/>
        <v/>
      </c>
      <c r="FW63" s="49" t="str">
        <f t="shared" si="238"/>
        <v/>
      </c>
      <c r="FX63" s="123">
        <f t="shared" si="239"/>
        <v>0</v>
      </c>
      <c r="FY63" s="123">
        <f t="shared" si="240"/>
        <v>0</v>
      </c>
      <c r="FZ63" s="123">
        <f t="shared" si="241"/>
        <v>0</v>
      </c>
      <c r="GA63" s="215">
        <f>IF(FW63="",0,MAX(FX63:FY63:FZ63))</f>
        <v>0</v>
      </c>
      <c r="GB63" s="216" t="str">
        <f t="shared" si="309"/>
        <v/>
      </c>
      <c r="GC63" s="217" t="str">
        <f t="shared" si="310"/>
        <v/>
      </c>
      <c r="GD63" s="217" t="str">
        <f t="shared" si="311"/>
        <v/>
      </c>
      <c r="GE63" s="49" t="str">
        <f t="shared" si="242"/>
        <v/>
      </c>
      <c r="GF63" s="123">
        <f t="shared" si="243"/>
        <v>0</v>
      </c>
      <c r="GG63" s="123">
        <f t="shared" si="244"/>
        <v>0</v>
      </c>
      <c r="GH63" s="123">
        <f t="shared" si="245"/>
        <v>0</v>
      </c>
      <c r="GI63" s="215">
        <f>IF(GE63="",0,MAX(GF63:GG63:GH63))</f>
        <v>0</v>
      </c>
      <c r="GJ63" s="216" t="str">
        <f t="shared" si="312"/>
        <v/>
      </c>
      <c r="GK63" s="217" t="str">
        <f t="shared" si="313"/>
        <v/>
      </c>
      <c r="GL63" s="217" t="str">
        <f t="shared" si="314"/>
        <v/>
      </c>
      <c r="GM63" s="49" t="str">
        <f t="shared" si="246"/>
        <v/>
      </c>
      <c r="GN63" s="123">
        <f t="shared" si="247"/>
        <v>0</v>
      </c>
      <c r="GO63" s="123">
        <f t="shared" si="248"/>
        <v>0</v>
      </c>
      <c r="GP63" s="123">
        <f t="shared" si="249"/>
        <v>0</v>
      </c>
      <c r="GQ63" s="215">
        <f>IF(GM63="",0,MAX(GN63:GO63:GP63))</f>
        <v>0</v>
      </c>
      <c r="GR63" s="216" t="str">
        <f t="shared" si="315"/>
        <v/>
      </c>
      <c r="GS63" s="217" t="str">
        <f t="shared" si="316"/>
        <v/>
      </c>
      <c r="GT63" s="217" t="str">
        <f t="shared" si="317"/>
        <v/>
      </c>
      <c r="GU63" s="49" t="str">
        <f t="shared" si="250"/>
        <v/>
      </c>
      <c r="GV63" s="123">
        <f t="shared" si="251"/>
        <v>0</v>
      </c>
      <c r="GW63" s="123">
        <f t="shared" si="252"/>
        <v>0</v>
      </c>
      <c r="GX63" s="123">
        <f t="shared" si="253"/>
        <v>0</v>
      </c>
      <c r="GY63" s="215">
        <f>IF(GU63="",0,MAX(GV63:GW63:GX63))</f>
        <v>0</v>
      </c>
      <c r="GZ63" s="216" t="str">
        <f t="shared" si="318"/>
        <v/>
      </c>
      <c r="HA63" s="217" t="str">
        <f t="shared" si="319"/>
        <v/>
      </c>
      <c r="HB63" s="217" t="str">
        <f t="shared" si="320"/>
        <v/>
      </c>
      <c r="HC63" s="49" t="str">
        <f t="shared" si="254"/>
        <v/>
      </c>
      <c r="HD63" s="123">
        <f t="shared" si="255"/>
        <v>0</v>
      </c>
      <c r="HE63" s="123">
        <f t="shared" si="256"/>
        <v>0</v>
      </c>
      <c r="HF63" s="123">
        <f t="shared" si="257"/>
        <v>0</v>
      </c>
      <c r="HG63" s="215">
        <f>IF(HC63="",0,MAX(HD63:HE63:HF63))</f>
        <v>0</v>
      </c>
      <c r="HH63" s="216" t="str">
        <f t="shared" si="321"/>
        <v/>
      </c>
      <c r="HI63" s="217" t="str">
        <f t="shared" si="322"/>
        <v/>
      </c>
      <c r="HJ63" s="217" t="str">
        <f t="shared" si="323"/>
        <v/>
      </c>
      <c r="HK63" s="49" t="str">
        <f t="shared" si="258"/>
        <v/>
      </c>
      <c r="HL63" s="123">
        <f t="shared" si="259"/>
        <v>0</v>
      </c>
      <c r="HM63" s="123">
        <f t="shared" si="260"/>
        <v>0</v>
      </c>
      <c r="HN63" s="123">
        <f t="shared" si="261"/>
        <v>0</v>
      </c>
      <c r="HO63" s="215">
        <f>IF(HK63="",0,MAX(HL63:HM63:HN63))</f>
        <v>0</v>
      </c>
      <c r="HP63" s="216" t="str">
        <f t="shared" si="324"/>
        <v/>
      </c>
      <c r="HQ63" s="217" t="str">
        <f t="shared" si="325"/>
        <v/>
      </c>
      <c r="HR63" s="217" t="str">
        <f t="shared" si="326"/>
        <v/>
      </c>
      <c r="HS63" s="49" t="str">
        <f t="shared" si="262"/>
        <v/>
      </c>
      <c r="HT63" s="123">
        <f t="shared" si="263"/>
        <v>0</v>
      </c>
      <c r="HU63" s="123">
        <f t="shared" si="264"/>
        <v>0</v>
      </c>
      <c r="HV63" s="123">
        <f t="shared" si="265"/>
        <v>0</v>
      </c>
      <c r="HW63" s="215">
        <f>IF(HS63="",0,MAX(HT63:HU63:HV63))</f>
        <v>0</v>
      </c>
      <c r="HX63" s="216" t="str">
        <f t="shared" si="327"/>
        <v/>
      </c>
      <c r="HY63" s="217" t="str">
        <f t="shared" si="328"/>
        <v/>
      </c>
      <c r="HZ63" s="217" t="str">
        <f t="shared" si="329"/>
        <v/>
      </c>
      <c r="IA63" s="49" t="str">
        <f t="shared" si="266"/>
        <v/>
      </c>
      <c r="IB63" s="123">
        <f t="shared" si="267"/>
        <v>0</v>
      </c>
      <c r="IC63" s="123">
        <f t="shared" si="268"/>
        <v>0</v>
      </c>
      <c r="ID63" s="123">
        <f t="shared" si="269"/>
        <v>0</v>
      </c>
      <c r="IE63" s="215">
        <f>IF(IA63="",0,MAX(IB63:IC63:ID63))</f>
        <v>0</v>
      </c>
      <c r="IF63" s="216" t="str">
        <f t="shared" si="330"/>
        <v/>
      </c>
      <c r="IG63" s="217" t="str">
        <f t="shared" si="331"/>
        <v/>
      </c>
      <c r="IH63" s="217" t="str">
        <f t="shared" si="332"/>
        <v/>
      </c>
      <c r="II63" s="49" t="str">
        <f t="shared" si="270"/>
        <v/>
      </c>
      <c r="IJ63" s="123">
        <f t="shared" si="271"/>
        <v>0</v>
      </c>
      <c r="IK63" s="123">
        <f t="shared" si="272"/>
        <v>0</v>
      </c>
      <c r="IL63" s="123">
        <f t="shared" si="273"/>
        <v>0</v>
      </c>
      <c r="IM63" s="215">
        <f>IF(II63="",0,MAX(IJ63:IK63:IL63))</f>
        <v>0</v>
      </c>
      <c r="IN63" s="216" t="str">
        <f t="shared" si="333"/>
        <v/>
      </c>
      <c r="IO63" s="217" t="str">
        <f t="shared" si="334"/>
        <v/>
      </c>
      <c r="IP63" s="217" t="str">
        <f t="shared" si="335"/>
        <v/>
      </c>
      <c r="IQ63" s="49" t="str">
        <f t="shared" si="274"/>
        <v/>
      </c>
      <c r="IR63" s="123">
        <f t="shared" si="275"/>
        <v>0</v>
      </c>
      <c r="IS63" s="123">
        <f t="shared" si="276"/>
        <v>0</v>
      </c>
      <c r="IT63" s="123">
        <f t="shared" si="277"/>
        <v>0</v>
      </c>
      <c r="IU63" s="215">
        <f>IF(IQ63="",0,MAX(IR63:IS63:IT63))</f>
        <v>0</v>
      </c>
    </row>
    <row r="64" spans="1:255" ht="13.3" thickTop="1" thickBot="1" x14ac:dyDescent="0.35">
      <c r="AV64" s="345" t="str">
        <f t="shared" si="345"/>
        <v/>
      </c>
      <c r="BF64" s="345">
        <f t="shared" si="336"/>
        <v>1</v>
      </c>
      <c r="BG64" s="347" t="str">
        <f t="shared" si="337"/>
        <v/>
      </c>
      <c r="BH64" s="347" t="str">
        <f t="shared" si="338"/>
        <v/>
      </c>
      <c r="BI64" s="347" t="str">
        <f t="shared" si="339"/>
        <v/>
      </c>
      <c r="BJ64" s="347" t="str">
        <f t="shared" si="340"/>
        <v/>
      </c>
      <c r="BK64" s="347" t="str">
        <f t="shared" si="341"/>
        <v/>
      </c>
      <c r="BL64" s="347" t="str">
        <f t="shared" si="342"/>
        <v/>
      </c>
      <c r="BN64" s="67"/>
      <c r="BO64" s="67"/>
      <c r="CW64" s="209" t="str">
        <f t="shared" si="343"/>
        <v/>
      </c>
      <c r="CX64" s="204" t="str">
        <f t="shared" si="201"/>
        <v/>
      </c>
      <c r="CY64" s="43">
        <f t="shared" si="279"/>
        <v>0</v>
      </c>
      <c r="CZ64" s="214">
        <f t="shared" si="344"/>
        <v>0</v>
      </c>
      <c r="DA64" s="45">
        <f t="shared" si="280"/>
        <v>0</v>
      </c>
      <c r="DB64" s="46">
        <f t="shared" si="202"/>
        <v>0</v>
      </c>
      <c r="DC64" s="47" t="str">
        <f t="shared" si="281"/>
        <v/>
      </c>
      <c r="DD64" s="123">
        <f t="shared" si="203"/>
        <v>0</v>
      </c>
      <c r="DE64" s="123">
        <f t="shared" si="204"/>
        <v>0</v>
      </c>
      <c r="DF64" s="123">
        <f t="shared" si="205"/>
        <v>0</v>
      </c>
      <c r="DG64" s="215">
        <f>IF(DC64="",0,MAX(DD64:DE64:DF64))</f>
        <v>0</v>
      </c>
      <c r="DH64" s="216" t="str">
        <f t="shared" si="282"/>
        <v/>
      </c>
      <c r="DI64" s="217" t="str">
        <f t="shared" si="283"/>
        <v/>
      </c>
      <c r="DJ64" s="217" t="str">
        <f t="shared" si="284"/>
        <v/>
      </c>
      <c r="DK64" s="49" t="str">
        <f t="shared" si="206"/>
        <v/>
      </c>
      <c r="DL64" s="123">
        <f t="shared" si="207"/>
        <v>0</v>
      </c>
      <c r="DM64" s="123">
        <f t="shared" si="208"/>
        <v>0</v>
      </c>
      <c r="DN64" s="123">
        <f t="shared" si="209"/>
        <v>0</v>
      </c>
      <c r="DO64" s="215">
        <f>IF(DK64="",0,MAX(DL64:DM64:DN64))</f>
        <v>0</v>
      </c>
      <c r="DP64" s="216" t="str">
        <f t="shared" si="285"/>
        <v/>
      </c>
      <c r="DQ64" s="217" t="str">
        <f t="shared" si="286"/>
        <v/>
      </c>
      <c r="DR64" s="217" t="str">
        <f t="shared" si="287"/>
        <v/>
      </c>
      <c r="DS64" s="49" t="str">
        <f t="shared" si="210"/>
        <v/>
      </c>
      <c r="DT64" s="123">
        <f t="shared" si="211"/>
        <v>0</v>
      </c>
      <c r="DU64" s="123">
        <f t="shared" si="212"/>
        <v>0</v>
      </c>
      <c r="DV64" s="123">
        <f t="shared" si="213"/>
        <v>0</v>
      </c>
      <c r="DW64" s="215">
        <f>IF(DS64="",0,MAX(DT64:DU64:DV64))</f>
        <v>0</v>
      </c>
      <c r="DX64" s="216" t="str">
        <f t="shared" si="288"/>
        <v/>
      </c>
      <c r="DY64" s="217" t="str">
        <f t="shared" si="289"/>
        <v/>
      </c>
      <c r="DZ64" s="217" t="str">
        <f t="shared" si="290"/>
        <v/>
      </c>
      <c r="EA64" s="49" t="str">
        <f t="shared" si="214"/>
        <v/>
      </c>
      <c r="EB64" s="123">
        <f t="shared" si="215"/>
        <v>0</v>
      </c>
      <c r="EC64" s="123">
        <f t="shared" si="216"/>
        <v>0</v>
      </c>
      <c r="ED64" s="123">
        <f t="shared" si="217"/>
        <v>0</v>
      </c>
      <c r="EE64" s="215">
        <f>IF(EA64="",0,MAX(EB64:EC64:ED64))</f>
        <v>0</v>
      </c>
      <c r="EF64" s="216" t="str">
        <f t="shared" si="291"/>
        <v/>
      </c>
      <c r="EG64" s="217" t="str">
        <f t="shared" si="292"/>
        <v/>
      </c>
      <c r="EH64" s="217" t="str">
        <f t="shared" si="293"/>
        <v/>
      </c>
      <c r="EI64" s="49" t="str">
        <f t="shared" si="218"/>
        <v/>
      </c>
      <c r="EJ64" s="123">
        <f t="shared" si="219"/>
        <v>0</v>
      </c>
      <c r="EK64" s="123">
        <f t="shared" si="220"/>
        <v>0</v>
      </c>
      <c r="EL64" s="123">
        <f t="shared" si="221"/>
        <v>0</v>
      </c>
      <c r="EM64" s="215">
        <f>IF(EI64="",0,MAX(EJ64:EK64:EL64))</f>
        <v>0</v>
      </c>
      <c r="EN64" s="216" t="str">
        <f t="shared" si="294"/>
        <v/>
      </c>
      <c r="EO64" s="217" t="str">
        <f t="shared" si="295"/>
        <v/>
      </c>
      <c r="EP64" s="217" t="str">
        <f t="shared" si="296"/>
        <v/>
      </c>
      <c r="EQ64" s="49" t="str">
        <f t="shared" si="222"/>
        <v/>
      </c>
      <c r="ER64" s="123">
        <f t="shared" si="223"/>
        <v>0</v>
      </c>
      <c r="ES64" s="123">
        <f t="shared" si="224"/>
        <v>0</v>
      </c>
      <c r="ET64" s="123">
        <f t="shared" si="225"/>
        <v>0</v>
      </c>
      <c r="EU64" s="215">
        <f>IF(EQ64="",0,MAX(ER64:ES64:ET64))</f>
        <v>0</v>
      </c>
      <c r="EV64" s="216" t="str">
        <f t="shared" si="297"/>
        <v/>
      </c>
      <c r="EW64" s="217" t="str">
        <f t="shared" si="298"/>
        <v/>
      </c>
      <c r="EX64" s="217" t="str">
        <f t="shared" si="299"/>
        <v/>
      </c>
      <c r="EY64" s="49" t="str">
        <f t="shared" si="226"/>
        <v/>
      </c>
      <c r="EZ64" s="123">
        <f t="shared" si="227"/>
        <v>0</v>
      </c>
      <c r="FA64" s="123">
        <f t="shared" si="228"/>
        <v>0</v>
      </c>
      <c r="FB64" s="123">
        <f t="shared" si="229"/>
        <v>0</v>
      </c>
      <c r="FC64" s="215">
        <f>IF(EY64="",0,MAX(EZ64:FA64:FB64))</f>
        <v>0</v>
      </c>
      <c r="FD64" s="216" t="str">
        <f t="shared" si="300"/>
        <v/>
      </c>
      <c r="FE64" s="217" t="str">
        <f t="shared" si="301"/>
        <v/>
      </c>
      <c r="FF64" s="217" t="str">
        <f t="shared" si="302"/>
        <v/>
      </c>
      <c r="FG64" s="49" t="str">
        <f t="shared" si="230"/>
        <v/>
      </c>
      <c r="FH64" s="123">
        <f t="shared" si="231"/>
        <v>0</v>
      </c>
      <c r="FI64" s="123">
        <f t="shared" si="232"/>
        <v>0</v>
      </c>
      <c r="FJ64" s="123">
        <f t="shared" si="233"/>
        <v>0</v>
      </c>
      <c r="FK64" s="215">
        <f>IF(FG64="",0,MAX(FH64:FI64:FJ64))</f>
        <v>0</v>
      </c>
      <c r="FL64" s="216" t="str">
        <f t="shared" si="303"/>
        <v/>
      </c>
      <c r="FM64" s="217" t="str">
        <f t="shared" si="304"/>
        <v/>
      </c>
      <c r="FN64" s="217" t="str">
        <f t="shared" si="305"/>
        <v/>
      </c>
      <c r="FO64" s="49" t="str">
        <f t="shared" si="234"/>
        <v/>
      </c>
      <c r="FP64" s="123">
        <f t="shared" si="235"/>
        <v>0</v>
      </c>
      <c r="FQ64" s="123">
        <f t="shared" si="236"/>
        <v>0</v>
      </c>
      <c r="FR64" s="123">
        <f t="shared" si="237"/>
        <v>0</v>
      </c>
      <c r="FS64" s="215">
        <f>IF(FO64="",0,MAX(FP64:FQ64:FR64))</f>
        <v>0</v>
      </c>
      <c r="FT64" s="216" t="str">
        <f t="shared" si="306"/>
        <v/>
      </c>
      <c r="FU64" s="217" t="str">
        <f t="shared" si="307"/>
        <v/>
      </c>
      <c r="FV64" s="217" t="str">
        <f t="shared" si="308"/>
        <v/>
      </c>
      <c r="FW64" s="49" t="str">
        <f t="shared" si="238"/>
        <v/>
      </c>
      <c r="FX64" s="123">
        <f t="shared" si="239"/>
        <v>0</v>
      </c>
      <c r="FY64" s="123">
        <f t="shared" si="240"/>
        <v>0</v>
      </c>
      <c r="FZ64" s="123">
        <f t="shared" si="241"/>
        <v>0</v>
      </c>
      <c r="GA64" s="215">
        <f>IF(FW64="",0,MAX(FX64:FY64:FZ64))</f>
        <v>0</v>
      </c>
      <c r="GB64" s="216" t="str">
        <f t="shared" si="309"/>
        <v/>
      </c>
      <c r="GC64" s="217" t="str">
        <f t="shared" si="310"/>
        <v/>
      </c>
      <c r="GD64" s="217" t="str">
        <f t="shared" si="311"/>
        <v/>
      </c>
      <c r="GE64" s="49" t="str">
        <f t="shared" si="242"/>
        <v/>
      </c>
      <c r="GF64" s="123">
        <f t="shared" si="243"/>
        <v>0</v>
      </c>
      <c r="GG64" s="123">
        <f t="shared" si="244"/>
        <v>0</v>
      </c>
      <c r="GH64" s="123">
        <f t="shared" si="245"/>
        <v>0</v>
      </c>
      <c r="GI64" s="215">
        <f>IF(GE64="",0,MAX(GF64:GG64:GH64))</f>
        <v>0</v>
      </c>
      <c r="GJ64" s="216" t="str">
        <f t="shared" si="312"/>
        <v/>
      </c>
      <c r="GK64" s="217" t="str">
        <f t="shared" si="313"/>
        <v/>
      </c>
      <c r="GL64" s="217" t="str">
        <f t="shared" si="314"/>
        <v/>
      </c>
      <c r="GM64" s="49" t="str">
        <f t="shared" si="246"/>
        <v/>
      </c>
      <c r="GN64" s="123">
        <f t="shared" si="247"/>
        <v>0</v>
      </c>
      <c r="GO64" s="123">
        <f t="shared" si="248"/>
        <v>0</v>
      </c>
      <c r="GP64" s="123">
        <f t="shared" si="249"/>
        <v>0</v>
      </c>
      <c r="GQ64" s="215">
        <f>IF(GM64="",0,MAX(GN64:GO64:GP64))</f>
        <v>0</v>
      </c>
      <c r="GR64" s="216" t="str">
        <f t="shared" si="315"/>
        <v/>
      </c>
      <c r="GS64" s="217" t="str">
        <f t="shared" si="316"/>
        <v/>
      </c>
      <c r="GT64" s="217" t="str">
        <f t="shared" si="317"/>
        <v/>
      </c>
      <c r="GU64" s="49" t="str">
        <f t="shared" si="250"/>
        <v/>
      </c>
      <c r="GV64" s="123">
        <f t="shared" si="251"/>
        <v>0</v>
      </c>
      <c r="GW64" s="123">
        <f t="shared" si="252"/>
        <v>0</v>
      </c>
      <c r="GX64" s="123">
        <f t="shared" si="253"/>
        <v>0</v>
      </c>
      <c r="GY64" s="215">
        <f>IF(GU64="",0,MAX(GV64:GW64:GX64))</f>
        <v>0</v>
      </c>
      <c r="GZ64" s="216" t="str">
        <f t="shared" si="318"/>
        <v/>
      </c>
      <c r="HA64" s="217" t="str">
        <f t="shared" si="319"/>
        <v/>
      </c>
      <c r="HB64" s="217" t="str">
        <f t="shared" si="320"/>
        <v/>
      </c>
      <c r="HC64" s="49" t="str">
        <f t="shared" si="254"/>
        <v/>
      </c>
      <c r="HD64" s="123">
        <f t="shared" si="255"/>
        <v>0</v>
      </c>
      <c r="HE64" s="123">
        <f t="shared" si="256"/>
        <v>0</v>
      </c>
      <c r="HF64" s="123">
        <f t="shared" si="257"/>
        <v>0</v>
      </c>
      <c r="HG64" s="215">
        <f>IF(HC64="",0,MAX(HD64:HE64:HF64))</f>
        <v>0</v>
      </c>
      <c r="HH64" s="216" t="str">
        <f t="shared" si="321"/>
        <v/>
      </c>
      <c r="HI64" s="217" t="str">
        <f t="shared" si="322"/>
        <v/>
      </c>
      <c r="HJ64" s="217" t="str">
        <f t="shared" si="323"/>
        <v/>
      </c>
      <c r="HK64" s="49" t="str">
        <f t="shared" si="258"/>
        <v/>
      </c>
      <c r="HL64" s="123">
        <f t="shared" si="259"/>
        <v>0</v>
      </c>
      <c r="HM64" s="123">
        <f t="shared" si="260"/>
        <v>0</v>
      </c>
      <c r="HN64" s="123">
        <f t="shared" si="261"/>
        <v>0</v>
      </c>
      <c r="HO64" s="215">
        <f>IF(HK64="",0,MAX(HL64:HM64:HN64))</f>
        <v>0</v>
      </c>
      <c r="HP64" s="216" t="str">
        <f t="shared" si="324"/>
        <v/>
      </c>
      <c r="HQ64" s="217" t="str">
        <f t="shared" si="325"/>
        <v/>
      </c>
      <c r="HR64" s="217" t="str">
        <f t="shared" si="326"/>
        <v/>
      </c>
      <c r="HS64" s="49" t="str">
        <f t="shared" si="262"/>
        <v/>
      </c>
      <c r="HT64" s="123">
        <f t="shared" si="263"/>
        <v>0</v>
      </c>
      <c r="HU64" s="123">
        <f t="shared" si="264"/>
        <v>0</v>
      </c>
      <c r="HV64" s="123">
        <f t="shared" si="265"/>
        <v>0</v>
      </c>
      <c r="HW64" s="215">
        <f>IF(HS64="",0,MAX(HT64:HU64:HV64))</f>
        <v>0</v>
      </c>
      <c r="HX64" s="216" t="str">
        <f t="shared" si="327"/>
        <v/>
      </c>
      <c r="HY64" s="217" t="str">
        <f t="shared" si="328"/>
        <v/>
      </c>
      <c r="HZ64" s="217" t="str">
        <f t="shared" si="329"/>
        <v/>
      </c>
      <c r="IA64" s="49" t="str">
        <f t="shared" si="266"/>
        <v/>
      </c>
      <c r="IB64" s="123">
        <f t="shared" si="267"/>
        <v>0</v>
      </c>
      <c r="IC64" s="123">
        <f t="shared" si="268"/>
        <v>0</v>
      </c>
      <c r="ID64" s="123">
        <f t="shared" si="269"/>
        <v>0</v>
      </c>
      <c r="IE64" s="215">
        <f>IF(IA64="",0,MAX(IB64:IC64:ID64))</f>
        <v>0</v>
      </c>
      <c r="IF64" s="216" t="str">
        <f t="shared" si="330"/>
        <v/>
      </c>
      <c r="IG64" s="217" t="str">
        <f t="shared" si="331"/>
        <v/>
      </c>
      <c r="IH64" s="217" t="str">
        <f t="shared" si="332"/>
        <v/>
      </c>
      <c r="II64" s="49" t="str">
        <f t="shared" si="270"/>
        <v/>
      </c>
      <c r="IJ64" s="123">
        <f t="shared" si="271"/>
        <v>0</v>
      </c>
      <c r="IK64" s="123">
        <f t="shared" si="272"/>
        <v>0</v>
      </c>
      <c r="IL64" s="123">
        <f t="shared" si="273"/>
        <v>0</v>
      </c>
      <c r="IM64" s="215">
        <f>IF(II64="",0,MAX(IJ64:IK64:IL64))</f>
        <v>0</v>
      </c>
      <c r="IN64" s="216" t="str">
        <f t="shared" si="333"/>
        <v/>
      </c>
      <c r="IO64" s="217" t="str">
        <f t="shared" si="334"/>
        <v/>
      </c>
      <c r="IP64" s="217" t="str">
        <f t="shared" si="335"/>
        <v/>
      </c>
      <c r="IQ64" s="49" t="str">
        <f t="shared" si="274"/>
        <v/>
      </c>
      <c r="IR64" s="123">
        <f t="shared" si="275"/>
        <v>0</v>
      </c>
      <c r="IS64" s="123">
        <f t="shared" si="276"/>
        <v>0</v>
      </c>
      <c r="IT64" s="123">
        <f t="shared" si="277"/>
        <v>0</v>
      </c>
      <c r="IU64" s="215">
        <f>IF(IQ64="",0,MAX(IR64:IS64:IT64))</f>
        <v>0</v>
      </c>
    </row>
    <row r="65" spans="48:255" ht="13.3" thickTop="1" thickBot="1" x14ac:dyDescent="0.35">
      <c r="AV65" s="345" t="str">
        <f t="shared" si="345"/>
        <v/>
      </c>
      <c r="AW65" s="15"/>
      <c r="BF65" s="345">
        <f t="shared" si="336"/>
        <v>1</v>
      </c>
      <c r="BG65" s="347" t="str">
        <f t="shared" si="337"/>
        <v/>
      </c>
      <c r="BH65" s="347" t="str">
        <f t="shared" si="338"/>
        <v/>
      </c>
      <c r="BI65" s="347" t="str">
        <f t="shared" si="339"/>
        <v/>
      </c>
      <c r="BJ65" s="347" t="str">
        <f t="shared" si="340"/>
        <v/>
      </c>
      <c r="BK65" s="347" t="str">
        <f t="shared" si="341"/>
        <v/>
      </c>
      <c r="BL65" s="347" t="str">
        <f t="shared" si="342"/>
        <v/>
      </c>
      <c r="BN65" s="67"/>
      <c r="BO65" s="67"/>
      <c r="CW65" s="209" t="str">
        <f t="shared" si="343"/>
        <v/>
      </c>
      <c r="CX65" s="204" t="str">
        <f t="shared" si="201"/>
        <v/>
      </c>
      <c r="CY65" s="43">
        <f t="shared" si="279"/>
        <v>0</v>
      </c>
      <c r="CZ65" s="214">
        <f t="shared" si="344"/>
        <v>0</v>
      </c>
      <c r="DA65" s="45">
        <f t="shared" si="280"/>
        <v>0</v>
      </c>
      <c r="DB65" s="46">
        <f t="shared" si="202"/>
        <v>0</v>
      </c>
      <c r="DC65" s="47" t="str">
        <f t="shared" si="281"/>
        <v/>
      </c>
      <c r="DD65" s="123">
        <f t="shared" si="203"/>
        <v>0</v>
      </c>
      <c r="DE65" s="123">
        <f t="shared" si="204"/>
        <v>0</v>
      </c>
      <c r="DF65" s="123">
        <f t="shared" si="205"/>
        <v>0</v>
      </c>
      <c r="DG65" s="215">
        <f>IF(DC65="",0,MAX(DD65:DE65:DF65))</f>
        <v>0</v>
      </c>
      <c r="DH65" s="216" t="str">
        <f t="shared" si="282"/>
        <v/>
      </c>
      <c r="DI65" s="217" t="str">
        <f t="shared" si="283"/>
        <v/>
      </c>
      <c r="DJ65" s="217" t="str">
        <f t="shared" si="284"/>
        <v/>
      </c>
      <c r="DK65" s="49" t="str">
        <f t="shared" si="206"/>
        <v/>
      </c>
      <c r="DL65" s="123">
        <f t="shared" si="207"/>
        <v>0</v>
      </c>
      <c r="DM65" s="123">
        <f t="shared" si="208"/>
        <v>0</v>
      </c>
      <c r="DN65" s="123">
        <f t="shared" si="209"/>
        <v>0</v>
      </c>
      <c r="DO65" s="215">
        <f>IF(DK65="",0,MAX(DL65:DM65:DN65))</f>
        <v>0</v>
      </c>
      <c r="DP65" s="216" t="str">
        <f t="shared" si="285"/>
        <v/>
      </c>
      <c r="DQ65" s="217" t="str">
        <f t="shared" si="286"/>
        <v/>
      </c>
      <c r="DR65" s="217" t="str">
        <f t="shared" si="287"/>
        <v/>
      </c>
      <c r="DS65" s="49" t="str">
        <f t="shared" si="210"/>
        <v/>
      </c>
      <c r="DT65" s="123">
        <f t="shared" si="211"/>
        <v>0</v>
      </c>
      <c r="DU65" s="123">
        <f t="shared" si="212"/>
        <v>0</v>
      </c>
      <c r="DV65" s="123">
        <f t="shared" si="213"/>
        <v>0</v>
      </c>
      <c r="DW65" s="215">
        <f>IF(DS65="",0,MAX(DT65:DU65:DV65))</f>
        <v>0</v>
      </c>
      <c r="DX65" s="216" t="str">
        <f t="shared" si="288"/>
        <v/>
      </c>
      <c r="DY65" s="217" t="str">
        <f t="shared" si="289"/>
        <v/>
      </c>
      <c r="DZ65" s="217" t="str">
        <f t="shared" si="290"/>
        <v/>
      </c>
      <c r="EA65" s="49" t="str">
        <f t="shared" si="214"/>
        <v/>
      </c>
      <c r="EB65" s="123">
        <f t="shared" si="215"/>
        <v>0</v>
      </c>
      <c r="EC65" s="123">
        <f t="shared" si="216"/>
        <v>0</v>
      </c>
      <c r="ED65" s="123">
        <f t="shared" si="217"/>
        <v>0</v>
      </c>
      <c r="EE65" s="215">
        <f>IF(EA65="",0,MAX(EB65:EC65:ED65))</f>
        <v>0</v>
      </c>
      <c r="EF65" s="216" t="str">
        <f t="shared" si="291"/>
        <v/>
      </c>
      <c r="EG65" s="217" t="str">
        <f t="shared" si="292"/>
        <v/>
      </c>
      <c r="EH65" s="217" t="str">
        <f t="shared" si="293"/>
        <v/>
      </c>
      <c r="EI65" s="49" t="str">
        <f t="shared" si="218"/>
        <v/>
      </c>
      <c r="EJ65" s="123">
        <f t="shared" si="219"/>
        <v>0</v>
      </c>
      <c r="EK65" s="123">
        <f t="shared" si="220"/>
        <v>0</v>
      </c>
      <c r="EL65" s="123">
        <f t="shared" si="221"/>
        <v>0</v>
      </c>
      <c r="EM65" s="215">
        <f>IF(EI65="",0,MAX(EJ65:EK65:EL65))</f>
        <v>0</v>
      </c>
      <c r="EN65" s="216" t="str">
        <f t="shared" si="294"/>
        <v/>
      </c>
      <c r="EO65" s="217" t="str">
        <f t="shared" si="295"/>
        <v/>
      </c>
      <c r="EP65" s="217" t="str">
        <f t="shared" si="296"/>
        <v/>
      </c>
      <c r="EQ65" s="49" t="str">
        <f t="shared" si="222"/>
        <v/>
      </c>
      <c r="ER65" s="123">
        <f t="shared" si="223"/>
        <v>0</v>
      </c>
      <c r="ES65" s="123">
        <f t="shared" si="224"/>
        <v>0</v>
      </c>
      <c r="ET65" s="123">
        <f t="shared" si="225"/>
        <v>0</v>
      </c>
      <c r="EU65" s="215">
        <f>IF(EQ65="",0,MAX(ER65:ES65:ET65))</f>
        <v>0</v>
      </c>
      <c r="EV65" s="216" t="str">
        <f t="shared" si="297"/>
        <v/>
      </c>
      <c r="EW65" s="217" t="str">
        <f t="shared" si="298"/>
        <v/>
      </c>
      <c r="EX65" s="217" t="str">
        <f t="shared" si="299"/>
        <v/>
      </c>
      <c r="EY65" s="49" t="str">
        <f t="shared" si="226"/>
        <v/>
      </c>
      <c r="EZ65" s="123">
        <f t="shared" si="227"/>
        <v>0</v>
      </c>
      <c r="FA65" s="123">
        <f t="shared" si="228"/>
        <v>0</v>
      </c>
      <c r="FB65" s="123">
        <f t="shared" si="229"/>
        <v>0</v>
      </c>
      <c r="FC65" s="215">
        <f>IF(EY65="",0,MAX(EZ65:FA65:FB65))</f>
        <v>0</v>
      </c>
      <c r="FD65" s="216" t="str">
        <f t="shared" si="300"/>
        <v/>
      </c>
      <c r="FE65" s="217" t="str">
        <f t="shared" si="301"/>
        <v/>
      </c>
      <c r="FF65" s="217" t="str">
        <f t="shared" si="302"/>
        <v/>
      </c>
      <c r="FG65" s="49" t="str">
        <f t="shared" si="230"/>
        <v/>
      </c>
      <c r="FH65" s="123">
        <f t="shared" si="231"/>
        <v>0</v>
      </c>
      <c r="FI65" s="123">
        <f t="shared" si="232"/>
        <v>0</v>
      </c>
      <c r="FJ65" s="123">
        <f t="shared" si="233"/>
        <v>0</v>
      </c>
      <c r="FK65" s="215">
        <f>IF(FG65="",0,MAX(FH65:FI65:FJ65))</f>
        <v>0</v>
      </c>
      <c r="FL65" s="216" t="str">
        <f t="shared" si="303"/>
        <v/>
      </c>
      <c r="FM65" s="217" t="str">
        <f t="shared" si="304"/>
        <v/>
      </c>
      <c r="FN65" s="217" t="str">
        <f t="shared" si="305"/>
        <v/>
      </c>
      <c r="FO65" s="49" t="str">
        <f t="shared" si="234"/>
        <v/>
      </c>
      <c r="FP65" s="123">
        <f t="shared" si="235"/>
        <v>0</v>
      </c>
      <c r="FQ65" s="123">
        <f t="shared" si="236"/>
        <v>0</v>
      </c>
      <c r="FR65" s="123">
        <f t="shared" si="237"/>
        <v>0</v>
      </c>
      <c r="FS65" s="215">
        <f>IF(FO65="",0,MAX(FP65:FQ65:FR65))</f>
        <v>0</v>
      </c>
      <c r="FT65" s="216" t="str">
        <f t="shared" si="306"/>
        <v/>
      </c>
      <c r="FU65" s="217" t="str">
        <f t="shared" si="307"/>
        <v/>
      </c>
      <c r="FV65" s="217" t="str">
        <f t="shared" si="308"/>
        <v/>
      </c>
      <c r="FW65" s="49" t="str">
        <f t="shared" si="238"/>
        <v/>
      </c>
      <c r="FX65" s="123">
        <f t="shared" si="239"/>
        <v>0</v>
      </c>
      <c r="FY65" s="123">
        <f t="shared" si="240"/>
        <v>0</v>
      </c>
      <c r="FZ65" s="123">
        <f t="shared" si="241"/>
        <v>0</v>
      </c>
      <c r="GA65" s="215">
        <f>IF(FW65="",0,MAX(FX65:FY65:FZ65))</f>
        <v>0</v>
      </c>
      <c r="GB65" s="216" t="str">
        <f t="shared" si="309"/>
        <v/>
      </c>
      <c r="GC65" s="217" t="str">
        <f t="shared" si="310"/>
        <v/>
      </c>
      <c r="GD65" s="217" t="str">
        <f t="shared" si="311"/>
        <v/>
      </c>
      <c r="GE65" s="49" t="str">
        <f t="shared" si="242"/>
        <v/>
      </c>
      <c r="GF65" s="123">
        <f t="shared" si="243"/>
        <v>0</v>
      </c>
      <c r="GG65" s="123">
        <f t="shared" si="244"/>
        <v>0</v>
      </c>
      <c r="GH65" s="123">
        <f t="shared" si="245"/>
        <v>0</v>
      </c>
      <c r="GI65" s="215">
        <f>IF(GE65="",0,MAX(GF65:GG65:GH65))</f>
        <v>0</v>
      </c>
      <c r="GJ65" s="216" t="str">
        <f t="shared" si="312"/>
        <v/>
      </c>
      <c r="GK65" s="217" t="str">
        <f t="shared" si="313"/>
        <v/>
      </c>
      <c r="GL65" s="217" t="str">
        <f t="shared" si="314"/>
        <v/>
      </c>
      <c r="GM65" s="49" t="str">
        <f t="shared" si="246"/>
        <v/>
      </c>
      <c r="GN65" s="123">
        <f t="shared" si="247"/>
        <v>0</v>
      </c>
      <c r="GO65" s="123">
        <f t="shared" si="248"/>
        <v>0</v>
      </c>
      <c r="GP65" s="123">
        <f t="shared" si="249"/>
        <v>0</v>
      </c>
      <c r="GQ65" s="215">
        <f>IF(GM65="",0,MAX(GN65:GO65:GP65))</f>
        <v>0</v>
      </c>
      <c r="GR65" s="216" t="str">
        <f t="shared" si="315"/>
        <v/>
      </c>
      <c r="GS65" s="217" t="str">
        <f t="shared" si="316"/>
        <v/>
      </c>
      <c r="GT65" s="217" t="str">
        <f t="shared" si="317"/>
        <v/>
      </c>
      <c r="GU65" s="49" t="str">
        <f t="shared" si="250"/>
        <v/>
      </c>
      <c r="GV65" s="123">
        <f t="shared" si="251"/>
        <v>0</v>
      </c>
      <c r="GW65" s="123">
        <f t="shared" si="252"/>
        <v>0</v>
      </c>
      <c r="GX65" s="123">
        <f t="shared" si="253"/>
        <v>0</v>
      </c>
      <c r="GY65" s="215">
        <f>IF(GU65="",0,MAX(GV65:GW65:GX65))</f>
        <v>0</v>
      </c>
      <c r="GZ65" s="216" t="str">
        <f t="shared" si="318"/>
        <v/>
      </c>
      <c r="HA65" s="217" t="str">
        <f t="shared" si="319"/>
        <v/>
      </c>
      <c r="HB65" s="217" t="str">
        <f t="shared" si="320"/>
        <v/>
      </c>
      <c r="HC65" s="49" t="str">
        <f t="shared" si="254"/>
        <v/>
      </c>
      <c r="HD65" s="123">
        <f t="shared" si="255"/>
        <v>0</v>
      </c>
      <c r="HE65" s="123">
        <f t="shared" si="256"/>
        <v>0</v>
      </c>
      <c r="HF65" s="123">
        <f t="shared" si="257"/>
        <v>0</v>
      </c>
      <c r="HG65" s="215">
        <f>IF(HC65="",0,MAX(HD65:HE65:HF65))</f>
        <v>0</v>
      </c>
      <c r="HH65" s="216" t="str">
        <f t="shared" si="321"/>
        <v/>
      </c>
      <c r="HI65" s="217" t="str">
        <f t="shared" si="322"/>
        <v/>
      </c>
      <c r="HJ65" s="217" t="str">
        <f t="shared" si="323"/>
        <v/>
      </c>
      <c r="HK65" s="49" t="str">
        <f t="shared" si="258"/>
        <v/>
      </c>
      <c r="HL65" s="123">
        <f t="shared" si="259"/>
        <v>0</v>
      </c>
      <c r="HM65" s="123">
        <f t="shared" si="260"/>
        <v>0</v>
      </c>
      <c r="HN65" s="123">
        <f t="shared" si="261"/>
        <v>0</v>
      </c>
      <c r="HO65" s="215">
        <f>IF(HK65="",0,MAX(HL65:HM65:HN65))</f>
        <v>0</v>
      </c>
      <c r="HP65" s="216" t="str">
        <f t="shared" si="324"/>
        <v/>
      </c>
      <c r="HQ65" s="217" t="str">
        <f t="shared" si="325"/>
        <v/>
      </c>
      <c r="HR65" s="217" t="str">
        <f t="shared" si="326"/>
        <v/>
      </c>
      <c r="HS65" s="49" t="str">
        <f t="shared" si="262"/>
        <v/>
      </c>
      <c r="HT65" s="123">
        <f t="shared" si="263"/>
        <v>0</v>
      </c>
      <c r="HU65" s="123">
        <f t="shared" si="264"/>
        <v>0</v>
      </c>
      <c r="HV65" s="123">
        <f t="shared" si="265"/>
        <v>0</v>
      </c>
      <c r="HW65" s="215">
        <f>IF(HS65="",0,MAX(HT65:HU65:HV65))</f>
        <v>0</v>
      </c>
      <c r="HX65" s="216" t="str">
        <f t="shared" si="327"/>
        <v/>
      </c>
      <c r="HY65" s="217" t="str">
        <f t="shared" si="328"/>
        <v/>
      </c>
      <c r="HZ65" s="217" t="str">
        <f t="shared" si="329"/>
        <v/>
      </c>
      <c r="IA65" s="49" t="str">
        <f t="shared" si="266"/>
        <v/>
      </c>
      <c r="IB65" s="123">
        <f t="shared" si="267"/>
        <v>0</v>
      </c>
      <c r="IC65" s="123">
        <f t="shared" si="268"/>
        <v>0</v>
      </c>
      <c r="ID65" s="123">
        <f t="shared" si="269"/>
        <v>0</v>
      </c>
      <c r="IE65" s="215">
        <f>IF(IA65="",0,MAX(IB65:IC65:ID65))</f>
        <v>0</v>
      </c>
      <c r="IF65" s="216" t="str">
        <f t="shared" si="330"/>
        <v/>
      </c>
      <c r="IG65" s="217" t="str">
        <f t="shared" si="331"/>
        <v/>
      </c>
      <c r="IH65" s="217" t="str">
        <f t="shared" si="332"/>
        <v/>
      </c>
      <c r="II65" s="49" t="str">
        <f t="shared" si="270"/>
        <v/>
      </c>
      <c r="IJ65" s="123">
        <f t="shared" si="271"/>
        <v>0</v>
      </c>
      <c r="IK65" s="123">
        <f t="shared" si="272"/>
        <v>0</v>
      </c>
      <c r="IL65" s="123">
        <f t="shared" si="273"/>
        <v>0</v>
      </c>
      <c r="IM65" s="215">
        <f>IF(II65="",0,MAX(IJ65:IK65:IL65))</f>
        <v>0</v>
      </c>
      <c r="IN65" s="216" t="str">
        <f t="shared" si="333"/>
        <v/>
      </c>
      <c r="IO65" s="217" t="str">
        <f t="shared" si="334"/>
        <v/>
      </c>
      <c r="IP65" s="217" t="str">
        <f t="shared" si="335"/>
        <v/>
      </c>
      <c r="IQ65" s="49" t="str">
        <f t="shared" si="274"/>
        <v/>
      </c>
      <c r="IR65" s="123">
        <f t="shared" si="275"/>
        <v>0</v>
      </c>
      <c r="IS65" s="123">
        <f t="shared" si="276"/>
        <v>0</v>
      </c>
      <c r="IT65" s="123">
        <f t="shared" si="277"/>
        <v>0</v>
      </c>
      <c r="IU65" s="215">
        <f>IF(IQ65="",0,MAX(IR65:IS65:IT65))</f>
        <v>0</v>
      </c>
    </row>
    <row r="66" spans="48:255" ht="13.3" thickTop="1" thickBot="1" x14ac:dyDescent="0.35">
      <c r="AV66" s="345" t="str">
        <f t="shared" si="345"/>
        <v/>
      </c>
      <c r="AW66" s="16"/>
      <c r="BF66" s="345">
        <f t="shared" si="336"/>
        <v>1</v>
      </c>
      <c r="BG66" s="347" t="str">
        <f t="shared" si="337"/>
        <v/>
      </c>
      <c r="BH66" s="347" t="str">
        <f t="shared" si="338"/>
        <v/>
      </c>
      <c r="BI66" s="347" t="str">
        <f t="shared" si="339"/>
        <v/>
      </c>
      <c r="BJ66" s="347" t="str">
        <f t="shared" si="340"/>
        <v/>
      </c>
      <c r="BK66" s="347" t="str">
        <f t="shared" si="341"/>
        <v/>
      </c>
      <c r="BL66" s="347" t="str">
        <f t="shared" si="342"/>
        <v/>
      </c>
      <c r="BN66" s="67"/>
      <c r="BO66" s="67"/>
      <c r="CW66" s="209" t="str">
        <f t="shared" si="343"/>
        <v/>
      </c>
      <c r="CX66" s="204" t="str">
        <f t="shared" si="201"/>
        <v/>
      </c>
      <c r="CY66" s="43">
        <f t="shared" si="279"/>
        <v>0</v>
      </c>
      <c r="CZ66" s="214">
        <f t="shared" si="344"/>
        <v>0</v>
      </c>
      <c r="DA66" s="45">
        <f t="shared" si="280"/>
        <v>0</v>
      </c>
      <c r="DB66" s="46">
        <f t="shared" si="202"/>
        <v>0</v>
      </c>
      <c r="DC66" s="47" t="str">
        <f t="shared" si="281"/>
        <v/>
      </c>
      <c r="DD66" s="123">
        <f t="shared" si="203"/>
        <v>0</v>
      </c>
      <c r="DE66" s="123">
        <f t="shared" si="204"/>
        <v>0</v>
      </c>
      <c r="DF66" s="123">
        <f t="shared" si="205"/>
        <v>0</v>
      </c>
      <c r="DG66" s="215">
        <f>IF(DC66="",0,MAX(DD66:DE66:DF66))</f>
        <v>0</v>
      </c>
      <c r="DH66" s="216" t="str">
        <f t="shared" si="282"/>
        <v/>
      </c>
      <c r="DI66" s="217" t="str">
        <f t="shared" si="283"/>
        <v/>
      </c>
      <c r="DJ66" s="217" t="str">
        <f t="shared" si="284"/>
        <v/>
      </c>
      <c r="DK66" s="49" t="str">
        <f t="shared" si="206"/>
        <v/>
      </c>
      <c r="DL66" s="123">
        <f t="shared" si="207"/>
        <v>0</v>
      </c>
      <c r="DM66" s="123">
        <f t="shared" si="208"/>
        <v>0</v>
      </c>
      <c r="DN66" s="123">
        <f t="shared" si="209"/>
        <v>0</v>
      </c>
      <c r="DO66" s="215">
        <f>IF(DK66="",0,MAX(DL66:DM66:DN66))</f>
        <v>0</v>
      </c>
      <c r="DP66" s="216" t="str">
        <f t="shared" si="285"/>
        <v/>
      </c>
      <c r="DQ66" s="217" t="str">
        <f t="shared" si="286"/>
        <v/>
      </c>
      <c r="DR66" s="217" t="str">
        <f t="shared" si="287"/>
        <v/>
      </c>
      <c r="DS66" s="49" t="str">
        <f t="shared" si="210"/>
        <v/>
      </c>
      <c r="DT66" s="123">
        <f t="shared" si="211"/>
        <v>0</v>
      </c>
      <c r="DU66" s="123">
        <f t="shared" si="212"/>
        <v>0</v>
      </c>
      <c r="DV66" s="123">
        <f t="shared" si="213"/>
        <v>0</v>
      </c>
      <c r="DW66" s="215">
        <f>IF(DS66="",0,MAX(DT66:DU66:DV66))</f>
        <v>0</v>
      </c>
      <c r="DX66" s="216" t="str">
        <f t="shared" si="288"/>
        <v/>
      </c>
      <c r="DY66" s="217" t="str">
        <f t="shared" si="289"/>
        <v/>
      </c>
      <c r="DZ66" s="217" t="str">
        <f t="shared" si="290"/>
        <v/>
      </c>
      <c r="EA66" s="49" t="str">
        <f t="shared" si="214"/>
        <v/>
      </c>
      <c r="EB66" s="123">
        <f t="shared" si="215"/>
        <v>0</v>
      </c>
      <c r="EC66" s="123">
        <f t="shared" si="216"/>
        <v>0</v>
      </c>
      <c r="ED66" s="123">
        <f t="shared" si="217"/>
        <v>0</v>
      </c>
      <c r="EE66" s="215">
        <f>IF(EA66="",0,MAX(EB66:EC66:ED66))</f>
        <v>0</v>
      </c>
      <c r="EF66" s="216" t="str">
        <f t="shared" si="291"/>
        <v/>
      </c>
      <c r="EG66" s="217" t="str">
        <f t="shared" si="292"/>
        <v/>
      </c>
      <c r="EH66" s="217" t="str">
        <f t="shared" si="293"/>
        <v/>
      </c>
      <c r="EI66" s="49" t="str">
        <f t="shared" si="218"/>
        <v/>
      </c>
      <c r="EJ66" s="123">
        <f t="shared" si="219"/>
        <v>0</v>
      </c>
      <c r="EK66" s="123">
        <f t="shared" si="220"/>
        <v>0</v>
      </c>
      <c r="EL66" s="123">
        <f t="shared" si="221"/>
        <v>0</v>
      </c>
      <c r="EM66" s="215">
        <f>IF(EI66="",0,MAX(EJ66:EK66:EL66))</f>
        <v>0</v>
      </c>
      <c r="EN66" s="216" t="str">
        <f t="shared" si="294"/>
        <v/>
      </c>
      <c r="EO66" s="217" t="str">
        <f t="shared" si="295"/>
        <v/>
      </c>
      <c r="EP66" s="217" t="str">
        <f t="shared" si="296"/>
        <v/>
      </c>
      <c r="EQ66" s="49" t="str">
        <f t="shared" si="222"/>
        <v/>
      </c>
      <c r="ER66" s="123">
        <f t="shared" si="223"/>
        <v>0</v>
      </c>
      <c r="ES66" s="123">
        <f t="shared" si="224"/>
        <v>0</v>
      </c>
      <c r="ET66" s="123">
        <f t="shared" si="225"/>
        <v>0</v>
      </c>
      <c r="EU66" s="215">
        <f>IF(EQ66="",0,MAX(ER66:ES66:ET66))</f>
        <v>0</v>
      </c>
      <c r="EV66" s="216" t="str">
        <f t="shared" si="297"/>
        <v/>
      </c>
      <c r="EW66" s="217" t="str">
        <f t="shared" si="298"/>
        <v/>
      </c>
      <c r="EX66" s="217" t="str">
        <f t="shared" si="299"/>
        <v/>
      </c>
      <c r="EY66" s="49" t="str">
        <f t="shared" si="226"/>
        <v/>
      </c>
      <c r="EZ66" s="123">
        <f t="shared" si="227"/>
        <v>0</v>
      </c>
      <c r="FA66" s="123">
        <f t="shared" si="228"/>
        <v>0</v>
      </c>
      <c r="FB66" s="123">
        <f t="shared" si="229"/>
        <v>0</v>
      </c>
      <c r="FC66" s="215">
        <f>IF(EY66="",0,MAX(EZ66:FA66:FB66))</f>
        <v>0</v>
      </c>
      <c r="FD66" s="216" t="str">
        <f t="shared" si="300"/>
        <v/>
      </c>
      <c r="FE66" s="217" t="str">
        <f t="shared" si="301"/>
        <v/>
      </c>
      <c r="FF66" s="217" t="str">
        <f t="shared" si="302"/>
        <v/>
      </c>
      <c r="FG66" s="49" t="str">
        <f t="shared" si="230"/>
        <v/>
      </c>
      <c r="FH66" s="123">
        <f t="shared" si="231"/>
        <v>0</v>
      </c>
      <c r="FI66" s="123">
        <f t="shared" si="232"/>
        <v>0</v>
      </c>
      <c r="FJ66" s="123">
        <f t="shared" si="233"/>
        <v>0</v>
      </c>
      <c r="FK66" s="215">
        <f>IF(FG66="",0,MAX(FH66:FI66:FJ66))</f>
        <v>0</v>
      </c>
      <c r="FL66" s="216" t="str">
        <f t="shared" si="303"/>
        <v/>
      </c>
      <c r="FM66" s="217" t="str">
        <f t="shared" si="304"/>
        <v/>
      </c>
      <c r="FN66" s="217" t="str">
        <f t="shared" si="305"/>
        <v/>
      </c>
      <c r="FO66" s="49" t="str">
        <f t="shared" si="234"/>
        <v/>
      </c>
      <c r="FP66" s="123">
        <f t="shared" si="235"/>
        <v>0</v>
      </c>
      <c r="FQ66" s="123">
        <f t="shared" si="236"/>
        <v>0</v>
      </c>
      <c r="FR66" s="123">
        <f t="shared" si="237"/>
        <v>0</v>
      </c>
      <c r="FS66" s="215">
        <f>IF(FO66="",0,MAX(FP66:FQ66:FR66))</f>
        <v>0</v>
      </c>
      <c r="FT66" s="216" t="str">
        <f t="shared" si="306"/>
        <v/>
      </c>
      <c r="FU66" s="217" t="str">
        <f t="shared" si="307"/>
        <v/>
      </c>
      <c r="FV66" s="217" t="str">
        <f t="shared" si="308"/>
        <v/>
      </c>
      <c r="FW66" s="49" t="str">
        <f t="shared" si="238"/>
        <v/>
      </c>
      <c r="FX66" s="123">
        <f t="shared" si="239"/>
        <v>0</v>
      </c>
      <c r="FY66" s="123">
        <f t="shared" si="240"/>
        <v>0</v>
      </c>
      <c r="FZ66" s="123">
        <f t="shared" si="241"/>
        <v>0</v>
      </c>
      <c r="GA66" s="215">
        <f>IF(FW66="",0,MAX(FX66:FY66:FZ66))</f>
        <v>0</v>
      </c>
      <c r="GB66" s="216" t="str">
        <f t="shared" si="309"/>
        <v/>
      </c>
      <c r="GC66" s="217" t="str">
        <f t="shared" si="310"/>
        <v/>
      </c>
      <c r="GD66" s="217" t="str">
        <f t="shared" si="311"/>
        <v/>
      </c>
      <c r="GE66" s="49" t="str">
        <f t="shared" si="242"/>
        <v/>
      </c>
      <c r="GF66" s="123">
        <f t="shared" si="243"/>
        <v>0</v>
      </c>
      <c r="GG66" s="123">
        <f t="shared" si="244"/>
        <v>0</v>
      </c>
      <c r="GH66" s="123">
        <f t="shared" si="245"/>
        <v>0</v>
      </c>
      <c r="GI66" s="215">
        <f>IF(GE66="",0,MAX(GF66:GG66:GH66))</f>
        <v>0</v>
      </c>
      <c r="GJ66" s="216" t="str">
        <f t="shared" si="312"/>
        <v/>
      </c>
      <c r="GK66" s="217" t="str">
        <f t="shared" si="313"/>
        <v/>
      </c>
      <c r="GL66" s="217" t="str">
        <f t="shared" si="314"/>
        <v/>
      </c>
      <c r="GM66" s="49" t="str">
        <f t="shared" si="246"/>
        <v/>
      </c>
      <c r="GN66" s="123">
        <f t="shared" si="247"/>
        <v>0</v>
      </c>
      <c r="GO66" s="123">
        <f t="shared" si="248"/>
        <v>0</v>
      </c>
      <c r="GP66" s="123">
        <f t="shared" si="249"/>
        <v>0</v>
      </c>
      <c r="GQ66" s="215">
        <f>IF(GM66="",0,MAX(GN66:GO66:GP66))</f>
        <v>0</v>
      </c>
      <c r="GR66" s="216" t="str">
        <f t="shared" si="315"/>
        <v/>
      </c>
      <c r="GS66" s="217" t="str">
        <f t="shared" si="316"/>
        <v/>
      </c>
      <c r="GT66" s="217" t="str">
        <f t="shared" si="317"/>
        <v/>
      </c>
      <c r="GU66" s="49" t="str">
        <f t="shared" si="250"/>
        <v/>
      </c>
      <c r="GV66" s="123">
        <f t="shared" si="251"/>
        <v>0</v>
      </c>
      <c r="GW66" s="123">
        <f t="shared" si="252"/>
        <v>0</v>
      </c>
      <c r="GX66" s="123">
        <f t="shared" si="253"/>
        <v>0</v>
      </c>
      <c r="GY66" s="215">
        <f>IF(GU66="",0,MAX(GV66:GW66:GX66))</f>
        <v>0</v>
      </c>
      <c r="GZ66" s="216" t="str">
        <f t="shared" si="318"/>
        <v/>
      </c>
      <c r="HA66" s="217" t="str">
        <f t="shared" si="319"/>
        <v/>
      </c>
      <c r="HB66" s="217" t="str">
        <f t="shared" si="320"/>
        <v/>
      </c>
      <c r="HC66" s="49" t="str">
        <f t="shared" si="254"/>
        <v/>
      </c>
      <c r="HD66" s="123">
        <f t="shared" si="255"/>
        <v>0</v>
      </c>
      <c r="HE66" s="123">
        <f t="shared" si="256"/>
        <v>0</v>
      </c>
      <c r="HF66" s="123">
        <f t="shared" si="257"/>
        <v>0</v>
      </c>
      <c r="HG66" s="215">
        <f>IF(HC66="",0,MAX(HD66:HE66:HF66))</f>
        <v>0</v>
      </c>
      <c r="HH66" s="216" t="str">
        <f t="shared" si="321"/>
        <v/>
      </c>
      <c r="HI66" s="217" t="str">
        <f t="shared" si="322"/>
        <v/>
      </c>
      <c r="HJ66" s="217" t="str">
        <f t="shared" si="323"/>
        <v/>
      </c>
      <c r="HK66" s="49" t="str">
        <f t="shared" si="258"/>
        <v/>
      </c>
      <c r="HL66" s="123">
        <f t="shared" si="259"/>
        <v>0</v>
      </c>
      <c r="HM66" s="123">
        <f t="shared" si="260"/>
        <v>0</v>
      </c>
      <c r="HN66" s="123">
        <f t="shared" si="261"/>
        <v>0</v>
      </c>
      <c r="HO66" s="215">
        <f>IF(HK66="",0,MAX(HL66:HM66:HN66))</f>
        <v>0</v>
      </c>
      <c r="HP66" s="216" t="str">
        <f t="shared" si="324"/>
        <v/>
      </c>
      <c r="HQ66" s="217" t="str">
        <f t="shared" si="325"/>
        <v/>
      </c>
      <c r="HR66" s="217" t="str">
        <f t="shared" si="326"/>
        <v/>
      </c>
      <c r="HS66" s="49" t="str">
        <f t="shared" si="262"/>
        <v/>
      </c>
      <c r="HT66" s="123">
        <f t="shared" si="263"/>
        <v>0</v>
      </c>
      <c r="HU66" s="123">
        <f t="shared" si="264"/>
        <v>0</v>
      </c>
      <c r="HV66" s="123">
        <f t="shared" si="265"/>
        <v>0</v>
      </c>
      <c r="HW66" s="215">
        <f>IF(HS66="",0,MAX(HT66:HU66:HV66))</f>
        <v>0</v>
      </c>
      <c r="HX66" s="216" t="str">
        <f t="shared" si="327"/>
        <v/>
      </c>
      <c r="HY66" s="217" t="str">
        <f t="shared" si="328"/>
        <v/>
      </c>
      <c r="HZ66" s="217" t="str">
        <f t="shared" si="329"/>
        <v/>
      </c>
      <c r="IA66" s="49" t="str">
        <f t="shared" si="266"/>
        <v/>
      </c>
      <c r="IB66" s="123">
        <f t="shared" si="267"/>
        <v>0</v>
      </c>
      <c r="IC66" s="123">
        <f t="shared" si="268"/>
        <v>0</v>
      </c>
      <c r="ID66" s="123">
        <f t="shared" si="269"/>
        <v>0</v>
      </c>
      <c r="IE66" s="215">
        <f>IF(IA66="",0,MAX(IB66:IC66:ID66))</f>
        <v>0</v>
      </c>
      <c r="IF66" s="216" t="str">
        <f t="shared" si="330"/>
        <v/>
      </c>
      <c r="IG66" s="217" t="str">
        <f t="shared" si="331"/>
        <v/>
      </c>
      <c r="IH66" s="217" t="str">
        <f t="shared" si="332"/>
        <v/>
      </c>
      <c r="II66" s="49" t="str">
        <f t="shared" si="270"/>
        <v/>
      </c>
      <c r="IJ66" s="123">
        <f t="shared" si="271"/>
        <v>0</v>
      </c>
      <c r="IK66" s="123">
        <f t="shared" si="272"/>
        <v>0</v>
      </c>
      <c r="IL66" s="123">
        <f t="shared" si="273"/>
        <v>0</v>
      </c>
      <c r="IM66" s="215">
        <f>IF(II66="",0,MAX(IJ66:IK66:IL66))</f>
        <v>0</v>
      </c>
      <c r="IN66" s="216" t="str">
        <f t="shared" si="333"/>
        <v/>
      </c>
      <c r="IO66" s="217" t="str">
        <f t="shared" si="334"/>
        <v/>
      </c>
      <c r="IP66" s="217" t="str">
        <f t="shared" si="335"/>
        <v/>
      </c>
      <c r="IQ66" s="49" t="str">
        <f t="shared" si="274"/>
        <v/>
      </c>
      <c r="IR66" s="123">
        <f t="shared" si="275"/>
        <v>0</v>
      </c>
      <c r="IS66" s="123">
        <f t="shared" si="276"/>
        <v>0</v>
      </c>
      <c r="IT66" s="123">
        <f t="shared" si="277"/>
        <v>0</v>
      </c>
      <c r="IU66" s="215">
        <f>IF(IQ66="",0,MAX(IR66:IS66:IT66))</f>
        <v>0</v>
      </c>
    </row>
    <row r="67" spans="48:255" ht="13.3" thickTop="1" thickBot="1" x14ac:dyDescent="0.35">
      <c r="AV67" s="345" t="str">
        <f t="shared" si="345"/>
        <v/>
      </c>
      <c r="AW67" s="15"/>
      <c r="BF67" s="345">
        <f t="shared" si="336"/>
        <v>1</v>
      </c>
      <c r="BG67" s="347" t="str">
        <f t="shared" si="337"/>
        <v/>
      </c>
      <c r="BH67" s="347" t="str">
        <f t="shared" si="338"/>
        <v/>
      </c>
      <c r="BI67" s="347" t="str">
        <f t="shared" si="339"/>
        <v/>
      </c>
      <c r="BJ67" s="347" t="str">
        <f t="shared" si="340"/>
        <v/>
      </c>
      <c r="BK67" s="347" t="str">
        <f t="shared" si="341"/>
        <v/>
      </c>
      <c r="BL67" s="347" t="str">
        <f t="shared" si="342"/>
        <v/>
      </c>
      <c r="BN67" s="67"/>
      <c r="BO67" s="67"/>
      <c r="CW67" s="209" t="str">
        <f t="shared" si="343"/>
        <v/>
      </c>
      <c r="CX67" s="204" t="str">
        <f t="shared" si="201"/>
        <v/>
      </c>
      <c r="CY67" s="43">
        <f t="shared" si="279"/>
        <v>0</v>
      </c>
      <c r="CZ67" s="214">
        <f t="shared" si="344"/>
        <v>0</v>
      </c>
      <c r="DA67" s="45">
        <f t="shared" si="280"/>
        <v>0</v>
      </c>
      <c r="DB67" s="46">
        <f t="shared" si="202"/>
        <v>0</v>
      </c>
      <c r="DC67" s="47" t="str">
        <f t="shared" si="281"/>
        <v/>
      </c>
      <c r="DD67" s="123">
        <f t="shared" si="203"/>
        <v>0</v>
      </c>
      <c r="DE67" s="123">
        <f t="shared" si="204"/>
        <v>0</v>
      </c>
      <c r="DF67" s="123">
        <f t="shared" si="205"/>
        <v>0</v>
      </c>
      <c r="DG67" s="215">
        <f>IF(DC67="",0,MAX(DD67:DE67:DF67))</f>
        <v>0</v>
      </c>
      <c r="DH67" s="216" t="str">
        <f t="shared" si="282"/>
        <v/>
      </c>
      <c r="DI67" s="217" t="str">
        <f t="shared" si="283"/>
        <v/>
      </c>
      <c r="DJ67" s="217" t="str">
        <f t="shared" si="284"/>
        <v/>
      </c>
      <c r="DK67" s="49" t="str">
        <f t="shared" si="206"/>
        <v/>
      </c>
      <c r="DL67" s="123">
        <f t="shared" si="207"/>
        <v>0</v>
      </c>
      <c r="DM67" s="123">
        <f t="shared" si="208"/>
        <v>0</v>
      </c>
      <c r="DN67" s="123">
        <f t="shared" si="209"/>
        <v>0</v>
      </c>
      <c r="DO67" s="215">
        <f>IF(DK67="",0,MAX(DL67:DM67:DN67))</f>
        <v>0</v>
      </c>
      <c r="DP67" s="216" t="str">
        <f t="shared" si="285"/>
        <v/>
      </c>
      <c r="DQ67" s="217" t="str">
        <f t="shared" si="286"/>
        <v/>
      </c>
      <c r="DR67" s="217" t="str">
        <f t="shared" si="287"/>
        <v/>
      </c>
      <c r="DS67" s="49" t="str">
        <f t="shared" si="210"/>
        <v/>
      </c>
      <c r="DT67" s="123">
        <f t="shared" si="211"/>
        <v>0</v>
      </c>
      <c r="DU67" s="123">
        <f t="shared" si="212"/>
        <v>0</v>
      </c>
      <c r="DV67" s="123">
        <f t="shared" si="213"/>
        <v>0</v>
      </c>
      <c r="DW67" s="215">
        <f>IF(DS67="",0,MAX(DT67:DU67:DV67))</f>
        <v>0</v>
      </c>
      <c r="DX67" s="216" t="str">
        <f t="shared" si="288"/>
        <v/>
      </c>
      <c r="DY67" s="217" t="str">
        <f t="shared" si="289"/>
        <v/>
      </c>
      <c r="DZ67" s="217" t="str">
        <f t="shared" si="290"/>
        <v/>
      </c>
      <c r="EA67" s="49" t="str">
        <f t="shared" si="214"/>
        <v/>
      </c>
      <c r="EB67" s="123">
        <f t="shared" si="215"/>
        <v>0</v>
      </c>
      <c r="EC67" s="123">
        <f t="shared" si="216"/>
        <v>0</v>
      </c>
      <c r="ED67" s="123">
        <f t="shared" si="217"/>
        <v>0</v>
      </c>
      <c r="EE67" s="215">
        <f>IF(EA67="",0,MAX(EB67:EC67:ED67))</f>
        <v>0</v>
      </c>
      <c r="EF67" s="216" t="str">
        <f t="shared" si="291"/>
        <v/>
      </c>
      <c r="EG67" s="217" t="str">
        <f t="shared" si="292"/>
        <v/>
      </c>
      <c r="EH67" s="217" t="str">
        <f t="shared" si="293"/>
        <v/>
      </c>
      <c r="EI67" s="49" t="str">
        <f t="shared" si="218"/>
        <v/>
      </c>
      <c r="EJ67" s="123">
        <f t="shared" si="219"/>
        <v>0</v>
      </c>
      <c r="EK67" s="123">
        <f t="shared" si="220"/>
        <v>0</v>
      </c>
      <c r="EL67" s="123">
        <f t="shared" si="221"/>
        <v>0</v>
      </c>
      <c r="EM67" s="215">
        <f>IF(EI67="",0,MAX(EJ67:EK67:EL67))</f>
        <v>0</v>
      </c>
      <c r="EN67" s="216" t="str">
        <f t="shared" si="294"/>
        <v/>
      </c>
      <c r="EO67" s="217" t="str">
        <f t="shared" si="295"/>
        <v/>
      </c>
      <c r="EP67" s="217" t="str">
        <f t="shared" si="296"/>
        <v/>
      </c>
      <c r="EQ67" s="49" t="str">
        <f t="shared" si="222"/>
        <v/>
      </c>
      <c r="ER67" s="123">
        <f t="shared" si="223"/>
        <v>0</v>
      </c>
      <c r="ES67" s="123">
        <f t="shared" si="224"/>
        <v>0</v>
      </c>
      <c r="ET67" s="123">
        <f t="shared" si="225"/>
        <v>0</v>
      </c>
      <c r="EU67" s="215">
        <f>IF(EQ67="",0,MAX(ER67:ES67:ET67))</f>
        <v>0</v>
      </c>
      <c r="EV67" s="216" t="str">
        <f t="shared" si="297"/>
        <v/>
      </c>
      <c r="EW67" s="217" t="str">
        <f t="shared" si="298"/>
        <v/>
      </c>
      <c r="EX67" s="217" t="str">
        <f t="shared" si="299"/>
        <v/>
      </c>
      <c r="EY67" s="49" t="str">
        <f t="shared" si="226"/>
        <v/>
      </c>
      <c r="EZ67" s="123">
        <f t="shared" si="227"/>
        <v>0</v>
      </c>
      <c r="FA67" s="123">
        <f t="shared" si="228"/>
        <v>0</v>
      </c>
      <c r="FB67" s="123">
        <f t="shared" si="229"/>
        <v>0</v>
      </c>
      <c r="FC67" s="215">
        <f>IF(EY67="",0,MAX(EZ67:FA67:FB67))</f>
        <v>0</v>
      </c>
      <c r="FD67" s="216" t="str">
        <f t="shared" si="300"/>
        <v/>
      </c>
      <c r="FE67" s="217" t="str">
        <f t="shared" si="301"/>
        <v/>
      </c>
      <c r="FF67" s="217" t="str">
        <f t="shared" si="302"/>
        <v/>
      </c>
      <c r="FG67" s="49" t="str">
        <f t="shared" si="230"/>
        <v/>
      </c>
      <c r="FH67" s="123">
        <f t="shared" si="231"/>
        <v>0</v>
      </c>
      <c r="FI67" s="123">
        <f t="shared" si="232"/>
        <v>0</v>
      </c>
      <c r="FJ67" s="123">
        <f t="shared" si="233"/>
        <v>0</v>
      </c>
      <c r="FK67" s="215">
        <f>IF(FG67="",0,MAX(FH67:FI67:FJ67))</f>
        <v>0</v>
      </c>
      <c r="FL67" s="216" t="str">
        <f t="shared" si="303"/>
        <v/>
      </c>
      <c r="FM67" s="217" t="str">
        <f t="shared" si="304"/>
        <v/>
      </c>
      <c r="FN67" s="217" t="str">
        <f t="shared" si="305"/>
        <v/>
      </c>
      <c r="FO67" s="49" t="str">
        <f t="shared" si="234"/>
        <v/>
      </c>
      <c r="FP67" s="123">
        <f t="shared" si="235"/>
        <v>0</v>
      </c>
      <c r="FQ67" s="123">
        <f t="shared" si="236"/>
        <v>0</v>
      </c>
      <c r="FR67" s="123">
        <f t="shared" si="237"/>
        <v>0</v>
      </c>
      <c r="FS67" s="215">
        <f>IF(FO67="",0,MAX(FP67:FQ67:FR67))</f>
        <v>0</v>
      </c>
      <c r="FT67" s="216" t="str">
        <f t="shared" si="306"/>
        <v/>
      </c>
      <c r="FU67" s="217" t="str">
        <f t="shared" si="307"/>
        <v/>
      </c>
      <c r="FV67" s="217" t="str">
        <f t="shared" si="308"/>
        <v/>
      </c>
      <c r="FW67" s="49" t="str">
        <f t="shared" si="238"/>
        <v/>
      </c>
      <c r="FX67" s="123">
        <f t="shared" si="239"/>
        <v>0</v>
      </c>
      <c r="FY67" s="123">
        <f t="shared" si="240"/>
        <v>0</v>
      </c>
      <c r="FZ67" s="123">
        <f t="shared" si="241"/>
        <v>0</v>
      </c>
      <c r="GA67" s="215">
        <f>IF(FW67="",0,MAX(FX67:FY67:FZ67))</f>
        <v>0</v>
      </c>
      <c r="GB67" s="216" t="str">
        <f t="shared" si="309"/>
        <v/>
      </c>
      <c r="GC67" s="217" t="str">
        <f t="shared" si="310"/>
        <v/>
      </c>
      <c r="GD67" s="217" t="str">
        <f t="shared" si="311"/>
        <v/>
      </c>
      <c r="GE67" s="49" t="str">
        <f t="shared" si="242"/>
        <v/>
      </c>
      <c r="GF67" s="123">
        <f t="shared" si="243"/>
        <v>0</v>
      </c>
      <c r="GG67" s="123">
        <f t="shared" si="244"/>
        <v>0</v>
      </c>
      <c r="GH67" s="123">
        <f t="shared" si="245"/>
        <v>0</v>
      </c>
      <c r="GI67" s="215">
        <f>IF(GE67="",0,MAX(GF67:GG67:GH67))</f>
        <v>0</v>
      </c>
      <c r="GJ67" s="216" t="str">
        <f t="shared" si="312"/>
        <v/>
      </c>
      <c r="GK67" s="217" t="str">
        <f t="shared" si="313"/>
        <v/>
      </c>
      <c r="GL67" s="217" t="str">
        <f t="shared" si="314"/>
        <v/>
      </c>
      <c r="GM67" s="49" t="str">
        <f t="shared" si="246"/>
        <v/>
      </c>
      <c r="GN67" s="123">
        <f t="shared" si="247"/>
        <v>0</v>
      </c>
      <c r="GO67" s="123">
        <f t="shared" si="248"/>
        <v>0</v>
      </c>
      <c r="GP67" s="123">
        <f t="shared" si="249"/>
        <v>0</v>
      </c>
      <c r="GQ67" s="215">
        <f>IF(GM67="",0,MAX(GN67:GO67:GP67))</f>
        <v>0</v>
      </c>
      <c r="GR67" s="216" t="str">
        <f t="shared" si="315"/>
        <v/>
      </c>
      <c r="GS67" s="217" t="str">
        <f t="shared" si="316"/>
        <v/>
      </c>
      <c r="GT67" s="217" t="str">
        <f t="shared" si="317"/>
        <v/>
      </c>
      <c r="GU67" s="49" t="str">
        <f t="shared" si="250"/>
        <v/>
      </c>
      <c r="GV67" s="123">
        <f t="shared" si="251"/>
        <v>0</v>
      </c>
      <c r="GW67" s="123">
        <f t="shared" si="252"/>
        <v>0</v>
      </c>
      <c r="GX67" s="123">
        <f t="shared" si="253"/>
        <v>0</v>
      </c>
      <c r="GY67" s="215">
        <f>IF(GU67="",0,MAX(GV67:GW67:GX67))</f>
        <v>0</v>
      </c>
      <c r="GZ67" s="216" t="str">
        <f t="shared" si="318"/>
        <v/>
      </c>
      <c r="HA67" s="217" t="str">
        <f t="shared" si="319"/>
        <v/>
      </c>
      <c r="HB67" s="217" t="str">
        <f t="shared" si="320"/>
        <v/>
      </c>
      <c r="HC67" s="49" t="str">
        <f t="shared" si="254"/>
        <v/>
      </c>
      <c r="HD67" s="123">
        <f t="shared" si="255"/>
        <v>0</v>
      </c>
      <c r="HE67" s="123">
        <f t="shared" si="256"/>
        <v>0</v>
      </c>
      <c r="HF67" s="123">
        <f t="shared" si="257"/>
        <v>0</v>
      </c>
      <c r="HG67" s="215">
        <f>IF(HC67="",0,MAX(HD67:HE67:HF67))</f>
        <v>0</v>
      </c>
      <c r="HH67" s="216" t="str">
        <f t="shared" si="321"/>
        <v/>
      </c>
      <c r="HI67" s="217" t="str">
        <f t="shared" si="322"/>
        <v/>
      </c>
      <c r="HJ67" s="217" t="str">
        <f t="shared" si="323"/>
        <v/>
      </c>
      <c r="HK67" s="49" t="str">
        <f t="shared" si="258"/>
        <v/>
      </c>
      <c r="HL67" s="123">
        <f t="shared" si="259"/>
        <v>0</v>
      </c>
      <c r="HM67" s="123">
        <f t="shared" si="260"/>
        <v>0</v>
      </c>
      <c r="HN67" s="123">
        <f t="shared" si="261"/>
        <v>0</v>
      </c>
      <c r="HO67" s="215">
        <f>IF(HK67="",0,MAX(HL67:HM67:HN67))</f>
        <v>0</v>
      </c>
      <c r="HP67" s="216" t="str">
        <f t="shared" si="324"/>
        <v/>
      </c>
      <c r="HQ67" s="217" t="str">
        <f t="shared" si="325"/>
        <v/>
      </c>
      <c r="HR67" s="217" t="str">
        <f t="shared" si="326"/>
        <v/>
      </c>
      <c r="HS67" s="49" t="str">
        <f t="shared" si="262"/>
        <v/>
      </c>
      <c r="HT67" s="123">
        <f t="shared" si="263"/>
        <v>0</v>
      </c>
      <c r="HU67" s="123">
        <f t="shared" si="264"/>
        <v>0</v>
      </c>
      <c r="HV67" s="123">
        <f t="shared" si="265"/>
        <v>0</v>
      </c>
      <c r="HW67" s="215">
        <f>IF(HS67="",0,MAX(HT67:HU67:HV67))</f>
        <v>0</v>
      </c>
      <c r="HX67" s="216" t="str">
        <f t="shared" si="327"/>
        <v/>
      </c>
      <c r="HY67" s="217" t="str">
        <f t="shared" si="328"/>
        <v/>
      </c>
      <c r="HZ67" s="217" t="str">
        <f t="shared" si="329"/>
        <v/>
      </c>
      <c r="IA67" s="49" t="str">
        <f t="shared" si="266"/>
        <v/>
      </c>
      <c r="IB67" s="123">
        <f t="shared" si="267"/>
        <v>0</v>
      </c>
      <c r="IC67" s="123">
        <f t="shared" si="268"/>
        <v>0</v>
      </c>
      <c r="ID67" s="123">
        <f t="shared" si="269"/>
        <v>0</v>
      </c>
      <c r="IE67" s="215">
        <f>IF(IA67="",0,MAX(IB67:IC67:ID67))</f>
        <v>0</v>
      </c>
      <c r="IF67" s="216" t="str">
        <f t="shared" si="330"/>
        <v/>
      </c>
      <c r="IG67" s="217" t="str">
        <f t="shared" si="331"/>
        <v/>
      </c>
      <c r="IH67" s="217" t="str">
        <f t="shared" si="332"/>
        <v/>
      </c>
      <c r="II67" s="49" t="str">
        <f t="shared" si="270"/>
        <v/>
      </c>
      <c r="IJ67" s="123">
        <f t="shared" si="271"/>
        <v>0</v>
      </c>
      <c r="IK67" s="123">
        <f t="shared" si="272"/>
        <v>0</v>
      </c>
      <c r="IL67" s="123">
        <f t="shared" si="273"/>
        <v>0</v>
      </c>
      <c r="IM67" s="215">
        <f>IF(II67="",0,MAX(IJ67:IK67:IL67))</f>
        <v>0</v>
      </c>
      <c r="IN67" s="216" t="str">
        <f t="shared" si="333"/>
        <v/>
      </c>
      <c r="IO67" s="217" t="str">
        <f t="shared" si="334"/>
        <v/>
      </c>
      <c r="IP67" s="217" t="str">
        <f t="shared" si="335"/>
        <v/>
      </c>
      <c r="IQ67" s="49" t="str">
        <f t="shared" si="274"/>
        <v/>
      </c>
      <c r="IR67" s="123">
        <f t="shared" si="275"/>
        <v>0</v>
      </c>
      <c r="IS67" s="123">
        <f t="shared" si="276"/>
        <v>0</v>
      </c>
      <c r="IT67" s="123">
        <f t="shared" si="277"/>
        <v>0</v>
      </c>
      <c r="IU67" s="215">
        <f>IF(IQ67="",0,MAX(IR67:IS67:IT67))</f>
        <v>0</v>
      </c>
    </row>
    <row r="68" spans="48:255" ht="13.3" thickTop="1" thickBot="1" x14ac:dyDescent="0.35">
      <c r="AV68" s="345" t="str">
        <f t="shared" si="345"/>
        <v/>
      </c>
      <c r="AW68" s="15"/>
      <c r="BF68" s="345">
        <f t="shared" si="336"/>
        <v>1</v>
      </c>
      <c r="BG68" s="347" t="str">
        <f t="shared" si="337"/>
        <v/>
      </c>
      <c r="BH68" s="347" t="str">
        <f t="shared" si="338"/>
        <v/>
      </c>
      <c r="BI68" s="347" t="str">
        <f t="shared" si="339"/>
        <v/>
      </c>
      <c r="BJ68" s="347" t="str">
        <f t="shared" si="340"/>
        <v/>
      </c>
      <c r="BK68" s="347" t="str">
        <f t="shared" si="341"/>
        <v/>
      </c>
      <c r="BL68" s="347" t="str">
        <f t="shared" si="342"/>
        <v/>
      </c>
      <c r="BN68" s="67"/>
      <c r="BO68" s="67"/>
      <c r="CW68" s="209" t="str">
        <f t="shared" si="343"/>
        <v/>
      </c>
      <c r="CX68" s="204" t="str">
        <f t="shared" si="201"/>
        <v/>
      </c>
      <c r="CY68" s="43">
        <f t="shared" si="279"/>
        <v>0</v>
      </c>
      <c r="CZ68" s="214">
        <f t="shared" si="344"/>
        <v>0</v>
      </c>
      <c r="DA68" s="45">
        <f t="shared" si="280"/>
        <v>0</v>
      </c>
      <c r="DB68" s="46">
        <f t="shared" si="202"/>
        <v>0</v>
      </c>
      <c r="DC68" s="47" t="str">
        <f t="shared" si="281"/>
        <v/>
      </c>
      <c r="DD68" s="123">
        <f t="shared" si="203"/>
        <v>0</v>
      </c>
      <c r="DE68" s="123">
        <f t="shared" si="204"/>
        <v>0</v>
      </c>
      <c r="DF68" s="123">
        <f t="shared" si="205"/>
        <v>0</v>
      </c>
      <c r="DG68" s="215">
        <f>IF(DC68="",0,MAX(DD68:DE68:DF68))</f>
        <v>0</v>
      </c>
      <c r="DH68" s="216" t="str">
        <f t="shared" si="282"/>
        <v/>
      </c>
      <c r="DI68" s="217" t="str">
        <f t="shared" si="283"/>
        <v/>
      </c>
      <c r="DJ68" s="217" t="str">
        <f t="shared" si="284"/>
        <v/>
      </c>
      <c r="DK68" s="49" t="str">
        <f t="shared" si="206"/>
        <v/>
      </c>
      <c r="DL68" s="123">
        <f t="shared" si="207"/>
        <v>0</v>
      </c>
      <c r="DM68" s="123">
        <f t="shared" si="208"/>
        <v>0</v>
      </c>
      <c r="DN68" s="123">
        <f t="shared" si="209"/>
        <v>0</v>
      </c>
      <c r="DO68" s="215">
        <f>IF(DK68="",0,MAX(DL68:DM68:DN68))</f>
        <v>0</v>
      </c>
      <c r="DP68" s="216" t="str">
        <f t="shared" si="285"/>
        <v/>
      </c>
      <c r="DQ68" s="217" t="str">
        <f t="shared" si="286"/>
        <v/>
      </c>
      <c r="DR68" s="217" t="str">
        <f t="shared" si="287"/>
        <v/>
      </c>
      <c r="DS68" s="49" t="str">
        <f t="shared" si="210"/>
        <v/>
      </c>
      <c r="DT68" s="123">
        <f t="shared" si="211"/>
        <v>0</v>
      </c>
      <c r="DU68" s="123">
        <f t="shared" si="212"/>
        <v>0</v>
      </c>
      <c r="DV68" s="123">
        <f t="shared" si="213"/>
        <v>0</v>
      </c>
      <c r="DW68" s="215">
        <f>IF(DS68="",0,MAX(DT68:DU68:DV68))</f>
        <v>0</v>
      </c>
      <c r="DX68" s="216" t="str">
        <f t="shared" si="288"/>
        <v/>
      </c>
      <c r="DY68" s="217" t="str">
        <f t="shared" si="289"/>
        <v/>
      </c>
      <c r="DZ68" s="217" t="str">
        <f t="shared" si="290"/>
        <v/>
      </c>
      <c r="EA68" s="49" t="str">
        <f t="shared" si="214"/>
        <v/>
      </c>
      <c r="EB68" s="123">
        <f t="shared" si="215"/>
        <v>0</v>
      </c>
      <c r="EC68" s="123">
        <f t="shared" si="216"/>
        <v>0</v>
      </c>
      <c r="ED68" s="123">
        <f t="shared" si="217"/>
        <v>0</v>
      </c>
      <c r="EE68" s="215">
        <f>IF(EA68="",0,MAX(EB68:EC68:ED68))</f>
        <v>0</v>
      </c>
      <c r="EF68" s="216" t="str">
        <f t="shared" si="291"/>
        <v/>
      </c>
      <c r="EG68" s="217" t="str">
        <f t="shared" si="292"/>
        <v/>
      </c>
      <c r="EH68" s="217" t="str">
        <f t="shared" si="293"/>
        <v/>
      </c>
      <c r="EI68" s="49" t="str">
        <f t="shared" si="218"/>
        <v/>
      </c>
      <c r="EJ68" s="123">
        <f t="shared" si="219"/>
        <v>0</v>
      </c>
      <c r="EK68" s="123">
        <f t="shared" si="220"/>
        <v>0</v>
      </c>
      <c r="EL68" s="123">
        <f t="shared" si="221"/>
        <v>0</v>
      </c>
      <c r="EM68" s="215">
        <f>IF(EI68="",0,MAX(EJ68:EK68:EL68))</f>
        <v>0</v>
      </c>
      <c r="EN68" s="216" t="str">
        <f t="shared" si="294"/>
        <v/>
      </c>
      <c r="EO68" s="217" t="str">
        <f t="shared" si="295"/>
        <v/>
      </c>
      <c r="EP68" s="217" t="str">
        <f t="shared" si="296"/>
        <v/>
      </c>
      <c r="EQ68" s="49" t="str">
        <f t="shared" si="222"/>
        <v/>
      </c>
      <c r="ER68" s="123">
        <f t="shared" si="223"/>
        <v>0</v>
      </c>
      <c r="ES68" s="123">
        <f t="shared" si="224"/>
        <v>0</v>
      </c>
      <c r="ET68" s="123">
        <f t="shared" si="225"/>
        <v>0</v>
      </c>
      <c r="EU68" s="215">
        <f>IF(EQ68="",0,MAX(ER68:ES68:ET68))</f>
        <v>0</v>
      </c>
      <c r="EV68" s="216" t="str">
        <f t="shared" si="297"/>
        <v/>
      </c>
      <c r="EW68" s="217" t="str">
        <f t="shared" si="298"/>
        <v/>
      </c>
      <c r="EX68" s="217" t="str">
        <f t="shared" si="299"/>
        <v/>
      </c>
      <c r="EY68" s="49" t="str">
        <f t="shared" si="226"/>
        <v/>
      </c>
      <c r="EZ68" s="123">
        <f t="shared" si="227"/>
        <v>0</v>
      </c>
      <c r="FA68" s="123">
        <f t="shared" si="228"/>
        <v>0</v>
      </c>
      <c r="FB68" s="123">
        <f t="shared" si="229"/>
        <v>0</v>
      </c>
      <c r="FC68" s="215">
        <f>IF(EY68="",0,MAX(EZ68:FA68:FB68))</f>
        <v>0</v>
      </c>
      <c r="FD68" s="216" t="str">
        <f t="shared" si="300"/>
        <v/>
      </c>
      <c r="FE68" s="217" t="str">
        <f t="shared" si="301"/>
        <v/>
      </c>
      <c r="FF68" s="217" t="str">
        <f t="shared" si="302"/>
        <v/>
      </c>
      <c r="FG68" s="49" t="str">
        <f t="shared" si="230"/>
        <v/>
      </c>
      <c r="FH68" s="123">
        <f t="shared" si="231"/>
        <v>0</v>
      </c>
      <c r="FI68" s="123">
        <f t="shared" si="232"/>
        <v>0</v>
      </c>
      <c r="FJ68" s="123">
        <f t="shared" si="233"/>
        <v>0</v>
      </c>
      <c r="FK68" s="215">
        <f>IF(FG68="",0,MAX(FH68:FI68:FJ68))</f>
        <v>0</v>
      </c>
      <c r="FL68" s="216" t="str">
        <f t="shared" si="303"/>
        <v/>
      </c>
      <c r="FM68" s="217" t="str">
        <f t="shared" si="304"/>
        <v/>
      </c>
      <c r="FN68" s="217" t="str">
        <f t="shared" si="305"/>
        <v/>
      </c>
      <c r="FO68" s="49" t="str">
        <f t="shared" si="234"/>
        <v/>
      </c>
      <c r="FP68" s="123">
        <f t="shared" si="235"/>
        <v>0</v>
      </c>
      <c r="FQ68" s="123">
        <f t="shared" si="236"/>
        <v>0</v>
      </c>
      <c r="FR68" s="123">
        <f t="shared" si="237"/>
        <v>0</v>
      </c>
      <c r="FS68" s="215">
        <f>IF(FO68="",0,MAX(FP68:FQ68:FR68))</f>
        <v>0</v>
      </c>
      <c r="FT68" s="216" t="str">
        <f t="shared" si="306"/>
        <v/>
      </c>
      <c r="FU68" s="217" t="str">
        <f t="shared" si="307"/>
        <v/>
      </c>
      <c r="FV68" s="217" t="str">
        <f t="shared" si="308"/>
        <v/>
      </c>
      <c r="FW68" s="49" t="str">
        <f t="shared" si="238"/>
        <v/>
      </c>
      <c r="FX68" s="123">
        <f t="shared" si="239"/>
        <v>0</v>
      </c>
      <c r="FY68" s="123">
        <f t="shared" si="240"/>
        <v>0</v>
      </c>
      <c r="FZ68" s="123">
        <f t="shared" si="241"/>
        <v>0</v>
      </c>
      <c r="GA68" s="215">
        <f>IF(FW68="",0,MAX(FX68:FY68:FZ68))</f>
        <v>0</v>
      </c>
      <c r="GB68" s="216" t="str">
        <f t="shared" si="309"/>
        <v/>
      </c>
      <c r="GC68" s="217" t="str">
        <f t="shared" si="310"/>
        <v/>
      </c>
      <c r="GD68" s="217" t="str">
        <f t="shared" si="311"/>
        <v/>
      </c>
      <c r="GE68" s="49" t="str">
        <f t="shared" si="242"/>
        <v/>
      </c>
      <c r="GF68" s="123">
        <f t="shared" si="243"/>
        <v>0</v>
      </c>
      <c r="GG68" s="123">
        <f t="shared" si="244"/>
        <v>0</v>
      </c>
      <c r="GH68" s="123">
        <f t="shared" si="245"/>
        <v>0</v>
      </c>
      <c r="GI68" s="215">
        <f>IF(GE68="",0,MAX(GF68:GG68:GH68))</f>
        <v>0</v>
      </c>
      <c r="GJ68" s="216" t="str">
        <f t="shared" si="312"/>
        <v/>
      </c>
      <c r="GK68" s="217" t="str">
        <f t="shared" si="313"/>
        <v/>
      </c>
      <c r="GL68" s="217" t="str">
        <f t="shared" si="314"/>
        <v/>
      </c>
      <c r="GM68" s="49" t="str">
        <f t="shared" si="246"/>
        <v/>
      </c>
      <c r="GN68" s="123">
        <f t="shared" si="247"/>
        <v>0</v>
      </c>
      <c r="GO68" s="123">
        <f t="shared" si="248"/>
        <v>0</v>
      </c>
      <c r="GP68" s="123">
        <f t="shared" si="249"/>
        <v>0</v>
      </c>
      <c r="GQ68" s="215">
        <f>IF(GM68="",0,MAX(GN68:GO68:GP68))</f>
        <v>0</v>
      </c>
      <c r="GR68" s="216" t="str">
        <f t="shared" si="315"/>
        <v/>
      </c>
      <c r="GS68" s="217" t="str">
        <f t="shared" si="316"/>
        <v/>
      </c>
      <c r="GT68" s="217" t="str">
        <f t="shared" si="317"/>
        <v/>
      </c>
      <c r="GU68" s="49" t="str">
        <f t="shared" si="250"/>
        <v/>
      </c>
      <c r="GV68" s="123">
        <f t="shared" si="251"/>
        <v>0</v>
      </c>
      <c r="GW68" s="123">
        <f t="shared" si="252"/>
        <v>0</v>
      </c>
      <c r="GX68" s="123">
        <f t="shared" si="253"/>
        <v>0</v>
      </c>
      <c r="GY68" s="215">
        <f>IF(GU68="",0,MAX(GV68:GW68:GX68))</f>
        <v>0</v>
      </c>
      <c r="GZ68" s="216" t="str">
        <f t="shared" si="318"/>
        <v/>
      </c>
      <c r="HA68" s="217" t="str">
        <f t="shared" si="319"/>
        <v/>
      </c>
      <c r="HB68" s="217" t="str">
        <f t="shared" si="320"/>
        <v/>
      </c>
      <c r="HC68" s="49" t="str">
        <f t="shared" si="254"/>
        <v/>
      </c>
      <c r="HD68" s="123">
        <f t="shared" si="255"/>
        <v>0</v>
      </c>
      <c r="HE68" s="123">
        <f t="shared" si="256"/>
        <v>0</v>
      </c>
      <c r="HF68" s="123">
        <f t="shared" si="257"/>
        <v>0</v>
      </c>
      <c r="HG68" s="215">
        <f>IF(HC68="",0,MAX(HD68:HE68:HF68))</f>
        <v>0</v>
      </c>
      <c r="HH68" s="216" t="str">
        <f t="shared" si="321"/>
        <v/>
      </c>
      <c r="HI68" s="217" t="str">
        <f t="shared" si="322"/>
        <v/>
      </c>
      <c r="HJ68" s="217" t="str">
        <f t="shared" si="323"/>
        <v/>
      </c>
      <c r="HK68" s="49" t="str">
        <f t="shared" si="258"/>
        <v/>
      </c>
      <c r="HL68" s="123">
        <f t="shared" si="259"/>
        <v>0</v>
      </c>
      <c r="HM68" s="123">
        <f t="shared" si="260"/>
        <v>0</v>
      </c>
      <c r="HN68" s="123">
        <f t="shared" si="261"/>
        <v>0</v>
      </c>
      <c r="HO68" s="215">
        <f>IF(HK68="",0,MAX(HL68:HM68:HN68))</f>
        <v>0</v>
      </c>
      <c r="HP68" s="216" t="str">
        <f t="shared" si="324"/>
        <v/>
      </c>
      <c r="HQ68" s="217" t="str">
        <f t="shared" si="325"/>
        <v/>
      </c>
      <c r="HR68" s="217" t="str">
        <f t="shared" si="326"/>
        <v/>
      </c>
      <c r="HS68" s="49" t="str">
        <f t="shared" si="262"/>
        <v/>
      </c>
      <c r="HT68" s="123">
        <f t="shared" si="263"/>
        <v>0</v>
      </c>
      <c r="HU68" s="123">
        <f t="shared" si="264"/>
        <v>0</v>
      </c>
      <c r="HV68" s="123">
        <f t="shared" si="265"/>
        <v>0</v>
      </c>
      <c r="HW68" s="215">
        <f>IF(HS68="",0,MAX(HT68:HU68:HV68))</f>
        <v>0</v>
      </c>
      <c r="HX68" s="216" t="str">
        <f t="shared" si="327"/>
        <v/>
      </c>
      <c r="HY68" s="217" t="str">
        <f t="shared" si="328"/>
        <v/>
      </c>
      <c r="HZ68" s="217" t="str">
        <f t="shared" si="329"/>
        <v/>
      </c>
      <c r="IA68" s="49" t="str">
        <f t="shared" si="266"/>
        <v/>
      </c>
      <c r="IB68" s="123">
        <f t="shared" si="267"/>
        <v>0</v>
      </c>
      <c r="IC68" s="123">
        <f t="shared" si="268"/>
        <v>0</v>
      </c>
      <c r="ID68" s="123">
        <f t="shared" si="269"/>
        <v>0</v>
      </c>
      <c r="IE68" s="215">
        <f>IF(IA68="",0,MAX(IB68:IC68:ID68))</f>
        <v>0</v>
      </c>
      <c r="IF68" s="216" t="str">
        <f t="shared" si="330"/>
        <v/>
      </c>
      <c r="IG68" s="217" t="str">
        <f t="shared" si="331"/>
        <v/>
      </c>
      <c r="IH68" s="217" t="str">
        <f t="shared" si="332"/>
        <v/>
      </c>
      <c r="II68" s="49" t="str">
        <f t="shared" si="270"/>
        <v/>
      </c>
      <c r="IJ68" s="123">
        <f t="shared" si="271"/>
        <v>0</v>
      </c>
      <c r="IK68" s="123">
        <f t="shared" si="272"/>
        <v>0</v>
      </c>
      <c r="IL68" s="123">
        <f t="shared" si="273"/>
        <v>0</v>
      </c>
      <c r="IM68" s="215">
        <f>IF(II68="",0,MAX(IJ68:IK68:IL68))</f>
        <v>0</v>
      </c>
      <c r="IN68" s="216" t="str">
        <f t="shared" si="333"/>
        <v/>
      </c>
      <c r="IO68" s="217" t="str">
        <f t="shared" si="334"/>
        <v/>
      </c>
      <c r="IP68" s="217" t="str">
        <f t="shared" si="335"/>
        <v/>
      </c>
      <c r="IQ68" s="49" t="str">
        <f t="shared" si="274"/>
        <v/>
      </c>
      <c r="IR68" s="123">
        <f t="shared" si="275"/>
        <v>0</v>
      </c>
      <c r="IS68" s="123">
        <f t="shared" si="276"/>
        <v>0</v>
      </c>
      <c r="IT68" s="123">
        <f t="shared" si="277"/>
        <v>0</v>
      </c>
      <c r="IU68" s="215">
        <f>IF(IQ68="",0,MAX(IR68:IS68:IT68))</f>
        <v>0</v>
      </c>
    </row>
    <row r="69" spans="48:255" ht="13.3" thickTop="1" thickBot="1" x14ac:dyDescent="0.35">
      <c r="AV69" s="345" t="str">
        <f t="shared" si="345"/>
        <v/>
      </c>
      <c r="AW69" s="15"/>
      <c r="BF69" s="345">
        <f t="shared" si="336"/>
        <v>1</v>
      </c>
      <c r="BG69" s="347" t="str">
        <f t="shared" si="337"/>
        <v/>
      </c>
      <c r="BH69" s="347" t="str">
        <f t="shared" si="338"/>
        <v/>
      </c>
      <c r="BI69" s="347" t="str">
        <f t="shared" si="339"/>
        <v/>
      </c>
      <c r="BJ69" s="347" t="str">
        <f t="shared" si="340"/>
        <v/>
      </c>
      <c r="BK69" s="347" t="str">
        <f t="shared" si="341"/>
        <v/>
      </c>
      <c r="BL69" s="347" t="str">
        <f t="shared" si="342"/>
        <v/>
      </c>
      <c r="BN69" s="67"/>
      <c r="BO69" s="67"/>
      <c r="CW69" s="209" t="str">
        <f t="shared" si="343"/>
        <v/>
      </c>
      <c r="CX69" s="204" t="str">
        <f t="shared" si="201"/>
        <v/>
      </c>
      <c r="CY69" s="43">
        <f t="shared" si="279"/>
        <v>0</v>
      </c>
      <c r="CZ69" s="214">
        <f t="shared" si="344"/>
        <v>0</v>
      </c>
      <c r="DA69" s="45">
        <f t="shared" si="280"/>
        <v>0</v>
      </c>
      <c r="DB69" s="46">
        <f t="shared" si="202"/>
        <v>0</v>
      </c>
      <c r="DC69" s="47" t="str">
        <f t="shared" si="281"/>
        <v/>
      </c>
      <c r="DD69" s="123">
        <f t="shared" si="203"/>
        <v>0</v>
      </c>
      <c r="DE69" s="123">
        <f t="shared" si="204"/>
        <v>0</v>
      </c>
      <c r="DF69" s="123">
        <f t="shared" si="205"/>
        <v>0</v>
      </c>
      <c r="DG69" s="215">
        <f>IF(DC69="",0,MAX(DD69:DE69:DF69))</f>
        <v>0</v>
      </c>
      <c r="DH69" s="216" t="str">
        <f t="shared" si="282"/>
        <v/>
      </c>
      <c r="DI69" s="217" t="str">
        <f t="shared" si="283"/>
        <v/>
      </c>
      <c r="DJ69" s="217" t="str">
        <f t="shared" si="284"/>
        <v/>
      </c>
      <c r="DK69" s="49" t="str">
        <f t="shared" si="206"/>
        <v/>
      </c>
      <c r="DL69" s="123">
        <f t="shared" si="207"/>
        <v>0</v>
      </c>
      <c r="DM69" s="123">
        <f t="shared" si="208"/>
        <v>0</v>
      </c>
      <c r="DN69" s="123">
        <f t="shared" si="209"/>
        <v>0</v>
      </c>
      <c r="DO69" s="215">
        <f>IF(DK69="",0,MAX(DL69:DM69:DN69))</f>
        <v>0</v>
      </c>
      <c r="DP69" s="216" t="str">
        <f t="shared" si="285"/>
        <v/>
      </c>
      <c r="DQ69" s="217" t="str">
        <f t="shared" si="286"/>
        <v/>
      </c>
      <c r="DR69" s="217" t="str">
        <f t="shared" si="287"/>
        <v/>
      </c>
      <c r="DS69" s="49" t="str">
        <f t="shared" si="210"/>
        <v/>
      </c>
      <c r="DT69" s="123">
        <f t="shared" si="211"/>
        <v>0</v>
      </c>
      <c r="DU69" s="123">
        <f t="shared" si="212"/>
        <v>0</v>
      </c>
      <c r="DV69" s="123">
        <f t="shared" si="213"/>
        <v>0</v>
      </c>
      <c r="DW69" s="215">
        <f>IF(DS69="",0,MAX(DT69:DU69:DV69))</f>
        <v>0</v>
      </c>
      <c r="DX69" s="216" t="str">
        <f t="shared" si="288"/>
        <v/>
      </c>
      <c r="DY69" s="217" t="str">
        <f t="shared" si="289"/>
        <v/>
      </c>
      <c r="DZ69" s="217" t="str">
        <f t="shared" si="290"/>
        <v/>
      </c>
      <c r="EA69" s="49" t="str">
        <f t="shared" si="214"/>
        <v/>
      </c>
      <c r="EB69" s="123">
        <f t="shared" si="215"/>
        <v>0</v>
      </c>
      <c r="EC69" s="123">
        <f t="shared" si="216"/>
        <v>0</v>
      </c>
      <c r="ED69" s="123">
        <f t="shared" si="217"/>
        <v>0</v>
      </c>
      <c r="EE69" s="215">
        <f>IF(EA69="",0,MAX(EB69:EC69:ED69))</f>
        <v>0</v>
      </c>
      <c r="EF69" s="216" t="str">
        <f t="shared" si="291"/>
        <v/>
      </c>
      <c r="EG69" s="217" t="str">
        <f t="shared" si="292"/>
        <v/>
      </c>
      <c r="EH69" s="217" t="str">
        <f t="shared" si="293"/>
        <v/>
      </c>
      <c r="EI69" s="49" t="str">
        <f t="shared" si="218"/>
        <v/>
      </c>
      <c r="EJ69" s="123">
        <f t="shared" si="219"/>
        <v>0</v>
      </c>
      <c r="EK69" s="123">
        <f t="shared" si="220"/>
        <v>0</v>
      </c>
      <c r="EL69" s="123">
        <f t="shared" si="221"/>
        <v>0</v>
      </c>
      <c r="EM69" s="215">
        <f>IF(EI69="",0,MAX(EJ69:EK69:EL69))</f>
        <v>0</v>
      </c>
      <c r="EN69" s="216" t="str">
        <f t="shared" si="294"/>
        <v/>
      </c>
      <c r="EO69" s="217" t="str">
        <f t="shared" si="295"/>
        <v/>
      </c>
      <c r="EP69" s="217" t="str">
        <f t="shared" si="296"/>
        <v/>
      </c>
      <c r="EQ69" s="49" t="str">
        <f t="shared" si="222"/>
        <v/>
      </c>
      <c r="ER69" s="123">
        <f t="shared" si="223"/>
        <v>0</v>
      </c>
      <c r="ES69" s="123">
        <f t="shared" si="224"/>
        <v>0</v>
      </c>
      <c r="ET69" s="123">
        <f t="shared" si="225"/>
        <v>0</v>
      </c>
      <c r="EU69" s="215">
        <f>IF(EQ69="",0,MAX(ER69:ES69:ET69))</f>
        <v>0</v>
      </c>
      <c r="EV69" s="216" t="str">
        <f t="shared" si="297"/>
        <v/>
      </c>
      <c r="EW69" s="217" t="str">
        <f t="shared" si="298"/>
        <v/>
      </c>
      <c r="EX69" s="217" t="str">
        <f t="shared" si="299"/>
        <v/>
      </c>
      <c r="EY69" s="49" t="str">
        <f t="shared" si="226"/>
        <v/>
      </c>
      <c r="EZ69" s="123">
        <f t="shared" si="227"/>
        <v>0</v>
      </c>
      <c r="FA69" s="123">
        <f t="shared" si="228"/>
        <v>0</v>
      </c>
      <c r="FB69" s="123">
        <f t="shared" si="229"/>
        <v>0</v>
      </c>
      <c r="FC69" s="215">
        <f>IF(EY69="",0,MAX(EZ69:FA69:FB69))</f>
        <v>0</v>
      </c>
      <c r="FD69" s="216" t="str">
        <f t="shared" si="300"/>
        <v/>
      </c>
      <c r="FE69" s="217" t="str">
        <f t="shared" si="301"/>
        <v/>
      </c>
      <c r="FF69" s="217" t="str">
        <f t="shared" si="302"/>
        <v/>
      </c>
      <c r="FG69" s="49" t="str">
        <f t="shared" si="230"/>
        <v/>
      </c>
      <c r="FH69" s="123">
        <f t="shared" si="231"/>
        <v>0</v>
      </c>
      <c r="FI69" s="123">
        <f t="shared" si="232"/>
        <v>0</v>
      </c>
      <c r="FJ69" s="123">
        <f t="shared" si="233"/>
        <v>0</v>
      </c>
      <c r="FK69" s="215">
        <f>IF(FG69="",0,MAX(FH69:FI69:FJ69))</f>
        <v>0</v>
      </c>
      <c r="FL69" s="216" t="str">
        <f t="shared" si="303"/>
        <v/>
      </c>
      <c r="FM69" s="217" t="str">
        <f t="shared" si="304"/>
        <v/>
      </c>
      <c r="FN69" s="217" t="str">
        <f t="shared" si="305"/>
        <v/>
      </c>
      <c r="FO69" s="49" t="str">
        <f t="shared" si="234"/>
        <v/>
      </c>
      <c r="FP69" s="123">
        <f t="shared" si="235"/>
        <v>0</v>
      </c>
      <c r="FQ69" s="123">
        <f t="shared" si="236"/>
        <v>0</v>
      </c>
      <c r="FR69" s="123">
        <f t="shared" si="237"/>
        <v>0</v>
      </c>
      <c r="FS69" s="215">
        <f>IF(FO69="",0,MAX(FP69:FQ69:FR69))</f>
        <v>0</v>
      </c>
      <c r="FT69" s="216" t="str">
        <f t="shared" si="306"/>
        <v/>
      </c>
      <c r="FU69" s="217" t="str">
        <f t="shared" si="307"/>
        <v/>
      </c>
      <c r="FV69" s="217" t="str">
        <f t="shared" si="308"/>
        <v/>
      </c>
      <c r="FW69" s="49" t="str">
        <f t="shared" si="238"/>
        <v/>
      </c>
      <c r="FX69" s="123">
        <f t="shared" si="239"/>
        <v>0</v>
      </c>
      <c r="FY69" s="123">
        <f t="shared" si="240"/>
        <v>0</v>
      </c>
      <c r="FZ69" s="123">
        <f t="shared" si="241"/>
        <v>0</v>
      </c>
      <c r="GA69" s="215">
        <f>IF(FW69="",0,MAX(FX69:FY69:FZ69))</f>
        <v>0</v>
      </c>
      <c r="GB69" s="216" t="str">
        <f t="shared" si="309"/>
        <v/>
      </c>
      <c r="GC69" s="217" t="str">
        <f t="shared" si="310"/>
        <v/>
      </c>
      <c r="GD69" s="217" t="str">
        <f t="shared" si="311"/>
        <v/>
      </c>
      <c r="GE69" s="49" t="str">
        <f t="shared" si="242"/>
        <v/>
      </c>
      <c r="GF69" s="123">
        <f t="shared" si="243"/>
        <v>0</v>
      </c>
      <c r="GG69" s="123">
        <f t="shared" si="244"/>
        <v>0</v>
      </c>
      <c r="GH69" s="123">
        <f t="shared" si="245"/>
        <v>0</v>
      </c>
      <c r="GI69" s="215">
        <f>IF(GE69="",0,MAX(GF69:GG69:GH69))</f>
        <v>0</v>
      </c>
      <c r="GJ69" s="216" t="str">
        <f t="shared" si="312"/>
        <v/>
      </c>
      <c r="GK69" s="217" t="str">
        <f t="shared" si="313"/>
        <v/>
      </c>
      <c r="GL69" s="217" t="str">
        <f t="shared" si="314"/>
        <v/>
      </c>
      <c r="GM69" s="49" t="str">
        <f t="shared" si="246"/>
        <v/>
      </c>
      <c r="GN69" s="123">
        <f t="shared" si="247"/>
        <v>0</v>
      </c>
      <c r="GO69" s="123">
        <f t="shared" si="248"/>
        <v>0</v>
      </c>
      <c r="GP69" s="123">
        <f t="shared" si="249"/>
        <v>0</v>
      </c>
      <c r="GQ69" s="215">
        <f>IF(GM69="",0,MAX(GN69:GO69:GP69))</f>
        <v>0</v>
      </c>
      <c r="GR69" s="216" t="str">
        <f t="shared" si="315"/>
        <v/>
      </c>
      <c r="GS69" s="217" t="str">
        <f t="shared" si="316"/>
        <v/>
      </c>
      <c r="GT69" s="217" t="str">
        <f t="shared" si="317"/>
        <v/>
      </c>
      <c r="GU69" s="49" t="str">
        <f t="shared" si="250"/>
        <v/>
      </c>
      <c r="GV69" s="123">
        <f t="shared" si="251"/>
        <v>0</v>
      </c>
      <c r="GW69" s="123">
        <f t="shared" si="252"/>
        <v>0</v>
      </c>
      <c r="GX69" s="123">
        <f t="shared" si="253"/>
        <v>0</v>
      </c>
      <c r="GY69" s="215">
        <f>IF(GU69="",0,MAX(GV69:GW69:GX69))</f>
        <v>0</v>
      </c>
      <c r="GZ69" s="216" t="str">
        <f t="shared" si="318"/>
        <v/>
      </c>
      <c r="HA69" s="217" t="str">
        <f t="shared" si="319"/>
        <v/>
      </c>
      <c r="HB69" s="217" t="str">
        <f t="shared" si="320"/>
        <v/>
      </c>
      <c r="HC69" s="49" t="str">
        <f t="shared" si="254"/>
        <v/>
      </c>
      <c r="HD69" s="123">
        <f t="shared" si="255"/>
        <v>0</v>
      </c>
      <c r="HE69" s="123">
        <f t="shared" si="256"/>
        <v>0</v>
      </c>
      <c r="HF69" s="123">
        <f t="shared" si="257"/>
        <v>0</v>
      </c>
      <c r="HG69" s="215">
        <f>IF(HC69="",0,MAX(HD69:HE69:HF69))</f>
        <v>0</v>
      </c>
      <c r="HH69" s="216" t="str">
        <f t="shared" si="321"/>
        <v/>
      </c>
      <c r="HI69" s="217" t="str">
        <f t="shared" si="322"/>
        <v/>
      </c>
      <c r="HJ69" s="217" t="str">
        <f t="shared" si="323"/>
        <v/>
      </c>
      <c r="HK69" s="49" t="str">
        <f t="shared" si="258"/>
        <v/>
      </c>
      <c r="HL69" s="123">
        <f t="shared" si="259"/>
        <v>0</v>
      </c>
      <c r="HM69" s="123">
        <f t="shared" si="260"/>
        <v>0</v>
      </c>
      <c r="HN69" s="123">
        <f t="shared" si="261"/>
        <v>0</v>
      </c>
      <c r="HO69" s="215">
        <f>IF(HK69="",0,MAX(HL69:HM69:HN69))</f>
        <v>0</v>
      </c>
      <c r="HP69" s="216" t="str">
        <f t="shared" si="324"/>
        <v/>
      </c>
      <c r="HQ69" s="217" t="str">
        <f t="shared" si="325"/>
        <v/>
      </c>
      <c r="HR69" s="217" t="str">
        <f t="shared" si="326"/>
        <v/>
      </c>
      <c r="HS69" s="49" t="str">
        <f t="shared" si="262"/>
        <v/>
      </c>
      <c r="HT69" s="123">
        <f t="shared" si="263"/>
        <v>0</v>
      </c>
      <c r="HU69" s="123">
        <f t="shared" si="264"/>
        <v>0</v>
      </c>
      <c r="HV69" s="123">
        <f t="shared" si="265"/>
        <v>0</v>
      </c>
      <c r="HW69" s="215">
        <f>IF(HS69="",0,MAX(HT69:HU69:HV69))</f>
        <v>0</v>
      </c>
      <c r="HX69" s="216" t="str">
        <f t="shared" si="327"/>
        <v/>
      </c>
      <c r="HY69" s="217" t="str">
        <f t="shared" si="328"/>
        <v/>
      </c>
      <c r="HZ69" s="217" t="str">
        <f t="shared" si="329"/>
        <v/>
      </c>
      <c r="IA69" s="49" t="str">
        <f t="shared" si="266"/>
        <v/>
      </c>
      <c r="IB69" s="123">
        <f t="shared" si="267"/>
        <v>0</v>
      </c>
      <c r="IC69" s="123">
        <f t="shared" si="268"/>
        <v>0</v>
      </c>
      <c r="ID69" s="123">
        <f t="shared" si="269"/>
        <v>0</v>
      </c>
      <c r="IE69" s="215">
        <f>IF(IA69="",0,MAX(IB69:IC69:ID69))</f>
        <v>0</v>
      </c>
      <c r="IF69" s="216" t="str">
        <f t="shared" si="330"/>
        <v/>
      </c>
      <c r="IG69" s="217" t="str">
        <f t="shared" si="331"/>
        <v/>
      </c>
      <c r="IH69" s="217" t="str">
        <f t="shared" si="332"/>
        <v/>
      </c>
      <c r="II69" s="49" t="str">
        <f t="shared" si="270"/>
        <v/>
      </c>
      <c r="IJ69" s="123">
        <f t="shared" si="271"/>
        <v>0</v>
      </c>
      <c r="IK69" s="123">
        <f t="shared" si="272"/>
        <v>0</v>
      </c>
      <c r="IL69" s="123">
        <f t="shared" si="273"/>
        <v>0</v>
      </c>
      <c r="IM69" s="215">
        <f>IF(II69="",0,MAX(IJ69:IK69:IL69))</f>
        <v>0</v>
      </c>
      <c r="IN69" s="216" t="str">
        <f t="shared" si="333"/>
        <v/>
      </c>
      <c r="IO69" s="217" t="str">
        <f t="shared" si="334"/>
        <v/>
      </c>
      <c r="IP69" s="217" t="str">
        <f t="shared" si="335"/>
        <v/>
      </c>
      <c r="IQ69" s="49" t="str">
        <f t="shared" si="274"/>
        <v/>
      </c>
      <c r="IR69" s="123">
        <f t="shared" si="275"/>
        <v>0</v>
      </c>
      <c r="IS69" s="123">
        <f t="shared" si="276"/>
        <v>0</v>
      </c>
      <c r="IT69" s="123">
        <f t="shared" si="277"/>
        <v>0</v>
      </c>
      <c r="IU69" s="215">
        <f>IF(IQ69="",0,MAX(IR69:IS69:IT69))</f>
        <v>0</v>
      </c>
    </row>
    <row r="70" spans="48:255" ht="13.3" thickTop="1" thickBot="1" x14ac:dyDescent="0.35">
      <c r="AV70" s="345" t="str">
        <f t="shared" si="345"/>
        <v/>
      </c>
      <c r="AW70" s="15"/>
      <c r="BF70" s="345">
        <f t="shared" si="336"/>
        <v>1</v>
      </c>
      <c r="BG70" s="347" t="str">
        <f t="shared" si="337"/>
        <v/>
      </c>
      <c r="BH70" s="347" t="str">
        <f t="shared" si="338"/>
        <v/>
      </c>
      <c r="BI70" s="347" t="str">
        <f t="shared" si="339"/>
        <v/>
      </c>
      <c r="BJ70" s="347" t="str">
        <f t="shared" si="340"/>
        <v/>
      </c>
      <c r="BK70" s="347" t="str">
        <f t="shared" si="341"/>
        <v/>
      </c>
      <c r="BL70" s="347" t="str">
        <f t="shared" si="342"/>
        <v/>
      </c>
      <c r="BN70" s="67"/>
      <c r="BO70" s="67"/>
      <c r="CW70" s="209" t="str">
        <f t="shared" si="343"/>
        <v/>
      </c>
      <c r="CX70" s="204" t="str">
        <f t="shared" si="201"/>
        <v/>
      </c>
      <c r="CY70" s="43">
        <f t="shared" si="279"/>
        <v>0</v>
      </c>
      <c r="CZ70" s="214">
        <f t="shared" si="344"/>
        <v>0</v>
      </c>
      <c r="DA70" s="45">
        <f t="shared" si="280"/>
        <v>0</v>
      </c>
      <c r="DB70" s="46">
        <f t="shared" si="202"/>
        <v>0</v>
      </c>
      <c r="DC70" s="47" t="str">
        <f t="shared" si="281"/>
        <v/>
      </c>
      <c r="DD70" s="123">
        <f t="shared" si="203"/>
        <v>0</v>
      </c>
      <c r="DE70" s="123">
        <f t="shared" si="204"/>
        <v>0</v>
      </c>
      <c r="DF70" s="123">
        <f t="shared" si="205"/>
        <v>0</v>
      </c>
      <c r="DG70" s="215">
        <f>IF(DC70="",0,MAX(DD70:DE70:DF70))</f>
        <v>0</v>
      </c>
      <c r="DH70" s="216" t="str">
        <f t="shared" si="282"/>
        <v/>
      </c>
      <c r="DI70" s="217" t="str">
        <f t="shared" si="283"/>
        <v/>
      </c>
      <c r="DJ70" s="217" t="str">
        <f t="shared" si="284"/>
        <v/>
      </c>
      <c r="DK70" s="49" t="str">
        <f t="shared" si="206"/>
        <v/>
      </c>
      <c r="DL70" s="123">
        <f t="shared" si="207"/>
        <v>0</v>
      </c>
      <c r="DM70" s="123">
        <f t="shared" si="208"/>
        <v>0</v>
      </c>
      <c r="DN70" s="123">
        <f t="shared" si="209"/>
        <v>0</v>
      </c>
      <c r="DO70" s="215">
        <f>IF(DK70="",0,MAX(DL70:DM70:DN70))</f>
        <v>0</v>
      </c>
      <c r="DP70" s="216" t="str">
        <f t="shared" si="285"/>
        <v/>
      </c>
      <c r="DQ70" s="217" t="str">
        <f t="shared" si="286"/>
        <v/>
      </c>
      <c r="DR70" s="217" t="str">
        <f t="shared" si="287"/>
        <v/>
      </c>
      <c r="DS70" s="49" t="str">
        <f t="shared" si="210"/>
        <v/>
      </c>
      <c r="DT70" s="123">
        <f t="shared" si="211"/>
        <v>0</v>
      </c>
      <c r="DU70" s="123">
        <f t="shared" si="212"/>
        <v>0</v>
      </c>
      <c r="DV70" s="123">
        <f t="shared" si="213"/>
        <v>0</v>
      </c>
      <c r="DW70" s="215">
        <f>IF(DS70="",0,MAX(DT70:DU70:DV70))</f>
        <v>0</v>
      </c>
      <c r="DX70" s="216" t="str">
        <f t="shared" si="288"/>
        <v/>
      </c>
      <c r="DY70" s="217" t="str">
        <f t="shared" si="289"/>
        <v/>
      </c>
      <c r="DZ70" s="217" t="str">
        <f t="shared" si="290"/>
        <v/>
      </c>
      <c r="EA70" s="49" t="str">
        <f t="shared" si="214"/>
        <v/>
      </c>
      <c r="EB70" s="123">
        <f t="shared" si="215"/>
        <v>0</v>
      </c>
      <c r="EC70" s="123">
        <f t="shared" si="216"/>
        <v>0</v>
      </c>
      <c r="ED70" s="123">
        <f t="shared" si="217"/>
        <v>0</v>
      </c>
      <c r="EE70" s="215">
        <f>IF(EA70="",0,MAX(EB70:EC70:ED70))</f>
        <v>0</v>
      </c>
      <c r="EF70" s="216" t="str">
        <f t="shared" si="291"/>
        <v/>
      </c>
      <c r="EG70" s="217" t="str">
        <f t="shared" si="292"/>
        <v/>
      </c>
      <c r="EH70" s="217" t="str">
        <f t="shared" si="293"/>
        <v/>
      </c>
      <c r="EI70" s="49" t="str">
        <f t="shared" si="218"/>
        <v/>
      </c>
      <c r="EJ70" s="123">
        <f t="shared" si="219"/>
        <v>0</v>
      </c>
      <c r="EK70" s="123">
        <f t="shared" si="220"/>
        <v>0</v>
      </c>
      <c r="EL70" s="123">
        <f t="shared" si="221"/>
        <v>0</v>
      </c>
      <c r="EM70" s="215">
        <f>IF(EI70="",0,MAX(EJ70:EK70:EL70))</f>
        <v>0</v>
      </c>
      <c r="EN70" s="216" t="str">
        <f t="shared" si="294"/>
        <v/>
      </c>
      <c r="EO70" s="217" t="str">
        <f t="shared" si="295"/>
        <v/>
      </c>
      <c r="EP70" s="217" t="str">
        <f t="shared" si="296"/>
        <v/>
      </c>
      <c r="EQ70" s="49" t="str">
        <f t="shared" si="222"/>
        <v/>
      </c>
      <c r="ER70" s="123">
        <f t="shared" si="223"/>
        <v>0</v>
      </c>
      <c r="ES70" s="123">
        <f t="shared" si="224"/>
        <v>0</v>
      </c>
      <c r="ET70" s="123">
        <f t="shared" si="225"/>
        <v>0</v>
      </c>
      <c r="EU70" s="215">
        <f>IF(EQ70="",0,MAX(ER70:ES70:ET70))</f>
        <v>0</v>
      </c>
      <c r="EV70" s="216" t="str">
        <f t="shared" si="297"/>
        <v/>
      </c>
      <c r="EW70" s="217" t="str">
        <f t="shared" si="298"/>
        <v/>
      </c>
      <c r="EX70" s="217" t="str">
        <f t="shared" si="299"/>
        <v/>
      </c>
      <c r="EY70" s="49" t="str">
        <f t="shared" si="226"/>
        <v/>
      </c>
      <c r="EZ70" s="123">
        <f t="shared" si="227"/>
        <v>0</v>
      </c>
      <c r="FA70" s="123">
        <f t="shared" si="228"/>
        <v>0</v>
      </c>
      <c r="FB70" s="123">
        <f t="shared" si="229"/>
        <v>0</v>
      </c>
      <c r="FC70" s="215">
        <f>IF(EY70="",0,MAX(EZ70:FA70:FB70))</f>
        <v>0</v>
      </c>
      <c r="FD70" s="216" t="str">
        <f t="shared" si="300"/>
        <v/>
      </c>
      <c r="FE70" s="217" t="str">
        <f t="shared" si="301"/>
        <v/>
      </c>
      <c r="FF70" s="217" t="str">
        <f t="shared" si="302"/>
        <v/>
      </c>
      <c r="FG70" s="49" t="str">
        <f t="shared" si="230"/>
        <v/>
      </c>
      <c r="FH70" s="123">
        <f t="shared" si="231"/>
        <v>0</v>
      </c>
      <c r="FI70" s="123">
        <f t="shared" si="232"/>
        <v>0</v>
      </c>
      <c r="FJ70" s="123">
        <f t="shared" si="233"/>
        <v>0</v>
      </c>
      <c r="FK70" s="215">
        <f>IF(FG70="",0,MAX(FH70:FI70:FJ70))</f>
        <v>0</v>
      </c>
      <c r="FL70" s="216" t="str">
        <f t="shared" si="303"/>
        <v/>
      </c>
      <c r="FM70" s="217" t="str">
        <f t="shared" si="304"/>
        <v/>
      </c>
      <c r="FN70" s="217" t="str">
        <f t="shared" si="305"/>
        <v/>
      </c>
      <c r="FO70" s="49" t="str">
        <f t="shared" si="234"/>
        <v/>
      </c>
      <c r="FP70" s="123">
        <f t="shared" si="235"/>
        <v>0</v>
      </c>
      <c r="FQ70" s="123">
        <f t="shared" si="236"/>
        <v>0</v>
      </c>
      <c r="FR70" s="123">
        <f t="shared" si="237"/>
        <v>0</v>
      </c>
      <c r="FS70" s="215">
        <f>IF(FO70="",0,MAX(FP70:FQ70:FR70))</f>
        <v>0</v>
      </c>
      <c r="FT70" s="216" t="str">
        <f t="shared" si="306"/>
        <v/>
      </c>
      <c r="FU70" s="217" t="str">
        <f t="shared" si="307"/>
        <v/>
      </c>
      <c r="FV70" s="217" t="str">
        <f t="shared" si="308"/>
        <v/>
      </c>
      <c r="FW70" s="49" t="str">
        <f t="shared" si="238"/>
        <v/>
      </c>
      <c r="FX70" s="123">
        <f t="shared" si="239"/>
        <v>0</v>
      </c>
      <c r="FY70" s="123">
        <f t="shared" si="240"/>
        <v>0</v>
      </c>
      <c r="FZ70" s="123">
        <f t="shared" si="241"/>
        <v>0</v>
      </c>
      <c r="GA70" s="215">
        <f>IF(FW70="",0,MAX(FX70:FY70:FZ70))</f>
        <v>0</v>
      </c>
      <c r="GB70" s="216" t="str">
        <f t="shared" si="309"/>
        <v/>
      </c>
      <c r="GC70" s="217" t="str">
        <f t="shared" si="310"/>
        <v/>
      </c>
      <c r="GD70" s="217" t="str">
        <f t="shared" si="311"/>
        <v/>
      </c>
      <c r="GE70" s="49" t="str">
        <f t="shared" si="242"/>
        <v/>
      </c>
      <c r="GF70" s="123">
        <f t="shared" si="243"/>
        <v>0</v>
      </c>
      <c r="GG70" s="123">
        <f t="shared" si="244"/>
        <v>0</v>
      </c>
      <c r="GH70" s="123">
        <f t="shared" si="245"/>
        <v>0</v>
      </c>
      <c r="GI70" s="215">
        <f>IF(GE70="",0,MAX(GF70:GG70:GH70))</f>
        <v>0</v>
      </c>
      <c r="GJ70" s="216" t="str">
        <f t="shared" si="312"/>
        <v/>
      </c>
      <c r="GK70" s="217" t="str">
        <f t="shared" si="313"/>
        <v/>
      </c>
      <c r="GL70" s="217" t="str">
        <f t="shared" si="314"/>
        <v/>
      </c>
      <c r="GM70" s="49" t="str">
        <f t="shared" si="246"/>
        <v/>
      </c>
      <c r="GN70" s="123">
        <f t="shared" si="247"/>
        <v>0</v>
      </c>
      <c r="GO70" s="123">
        <f t="shared" si="248"/>
        <v>0</v>
      </c>
      <c r="GP70" s="123">
        <f t="shared" si="249"/>
        <v>0</v>
      </c>
      <c r="GQ70" s="215">
        <f>IF(GM70="",0,MAX(GN70:GO70:GP70))</f>
        <v>0</v>
      </c>
      <c r="GR70" s="216" t="str">
        <f t="shared" si="315"/>
        <v/>
      </c>
      <c r="GS70" s="217" t="str">
        <f t="shared" si="316"/>
        <v/>
      </c>
      <c r="GT70" s="217" t="str">
        <f t="shared" si="317"/>
        <v/>
      </c>
      <c r="GU70" s="49" t="str">
        <f t="shared" si="250"/>
        <v/>
      </c>
      <c r="GV70" s="123">
        <f t="shared" si="251"/>
        <v>0</v>
      </c>
      <c r="GW70" s="123">
        <f t="shared" si="252"/>
        <v>0</v>
      </c>
      <c r="GX70" s="123">
        <f t="shared" si="253"/>
        <v>0</v>
      </c>
      <c r="GY70" s="215">
        <f>IF(GU70="",0,MAX(GV70:GW70:GX70))</f>
        <v>0</v>
      </c>
      <c r="GZ70" s="216" t="str">
        <f t="shared" si="318"/>
        <v/>
      </c>
      <c r="HA70" s="217" t="str">
        <f t="shared" si="319"/>
        <v/>
      </c>
      <c r="HB70" s="217" t="str">
        <f t="shared" si="320"/>
        <v/>
      </c>
      <c r="HC70" s="49" t="str">
        <f t="shared" si="254"/>
        <v/>
      </c>
      <c r="HD70" s="123">
        <f t="shared" si="255"/>
        <v>0</v>
      </c>
      <c r="HE70" s="123">
        <f t="shared" si="256"/>
        <v>0</v>
      </c>
      <c r="HF70" s="123">
        <f t="shared" si="257"/>
        <v>0</v>
      </c>
      <c r="HG70" s="215">
        <f>IF(HC70="",0,MAX(HD70:HE70:HF70))</f>
        <v>0</v>
      </c>
      <c r="HH70" s="216" t="str">
        <f t="shared" si="321"/>
        <v/>
      </c>
      <c r="HI70" s="217" t="str">
        <f t="shared" si="322"/>
        <v/>
      </c>
      <c r="HJ70" s="217" t="str">
        <f t="shared" si="323"/>
        <v/>
      </c>
      <c r="HK70" s="49" t="str">
        <f t="shared" si="258"/>
        <v/>
      </c>
      <c r="HL70" s="123">
        <f t="shared" si="259"/>
        <v>0</v>
      </c>
      <c r="HM70" s="123">
        <f t="shared" si="260"/>
        <v>0</v>
      </c>
      <c r="HN70" s="123">
        <f t="shared" si="261"/>
        <v>0</v>
      </c>
      <c r="HO70" s="215">
        <f>IF(HK70="",0,MAX(HL70:HM70:HN70))</f>
        <v>0</v>
      </c>
      <c r="HP70" s="216" t="str">
        <f t="shared" si="324"/>
        <v/>
      </c>
      <c r="HQ70" s="217" t="str">
        <f t="shared" si="325"/>
        <v/>
      </c>
      <c r="HR70" s="217" t="str">
        <f t="shared" si="326"/>
        <v/>
      </c>
      <c r="HS70" s="49" t="str">
        <f t="shared" si="262"/>
        <v/>
      </c>
      <c r="HT70" s="123">
        <f t="shared" si="263"/>
        <v>0</v>
      </c>
      <c r="HU70" s="123">
        <f t="shared" si="264"/>
        <v>0</v>
      </c>
      <c r="HV70" s="123">
        <f t="shared" si="265"/>
        <v>0</v>
      </c>
      <c r="HW70" s="215">
        <f>IF(HS70="",0,MAX(HT70:HU70:HV70))</f>
        <v>0</v>
      </c>
      <c r="HX70" s="216" t="str">
        <f t="shared" si="327"/>
        <v/>
      </c>
      <c r="HY70" s="217" t="str">
        <f t="shared" si="328"/>
        <v/>
      </c>
      <c r="HZ70" s="217" t="str">
        <f t="shared" si="329"/>
        <v/>
      </c>
      <c r="IA70" s="49" t="str">
        <f t="shared" si="266"/>
        <v/>
      </c>
      <c r="IB70" s="123">
        <f t="shared" si="267"/>
        <v>0</v>
      </c>
      <c r="IC70" s="123">
        <f t="shared" si="268"/>
        <v>0</v>
      </c>
      <c r="ID70" s="123">
        <f t="shared" si="269"/>
        <v>0</v>
      </c>
      <c r="IE70" s="215">
        <f>IF(IA70="",0,MAX(IB70:IC70:ID70))</f>
        <v>0</v>
      </c>
      <c r="IF70" s="216" t="str">
        <f t="shared" si="330"/>
        <v/>
      </c>
      <c r="IG70" s="217" t="str">
        <f t="shared" si="331"/>
        <v/>
      </c>
      <c r="IH70" s="217" t="str">
        <f t="shared" si="332"/>
        <v/>
      </c>
      <c r="II70" s="49" t="str">
        <f t="shared" si="270"/>
        <v/>
      </c>
      <c r="IJ70" s="123">
        <f t="shared" si="271"/>
        <v>0</v>
      </c>
      <c r="IK70" s="123">
        <f t="shared" si="272"/>
        <v>0</v>
      </c>
      <c r="IL70" s="123">
        <f t="shared" si="273"/>
        <v>0</v>
      </c>
      <c r="IM70" s="215">
        <f>IF(II70="",0,MAX(IJ70:IK70:IL70))</f>
        <v>0</v>
      </c>
      <c r="IN70" s="216" t="str">
        <f t="shared" si="333"/>
        <v/>
      </c>
      <c r="IO70" s="217" t="str">
        <f t="shared" si="334"/>
        <v/>
      </c>
      <c r="IP70" s="217" t="str">
        <f t="shared" si="335"/>
        <v/>
      </c>
      <c r="IQ70" s="49" t="str">
        <f t="shared" si="274"/>
        <v/>
      </c>
      <c r="IR70" s="123">
        <f t="shared" si="275"/>
        <v>0</v>
      </c>
      <c r="IS70" s="123">
        <f t="shared" si="276"/>
        <v>0</v>
      </c>
      <c r="IT70" s="123">
        <f t="shared" si="277"/>
        <v>0</v>
      </c>
      <c r="IU70" s="215">
        <f>IF(IQ70="",0,MAX(IR70:IS70:IT70))</f>
        <v>0</v>
      </c>
    </row>
    <row r="71" spans="48:255" ht="13.3" thickTop="1" thickBot="1" x14ac:dyDescent="0.35">
      <c r="AV71" s="345" t="str">
        <f t="shared" si="345"/>
        <v/>
      </c>
      <c r="AW71" s="15"/>
      <c r="BF71" s="345">
        <f t="shared" si="336"/>
        <v>1</v>
      </c>
      <c r="BG71" s="347" t="str">
        <f t="shared" si="337"/>
        <v/>
      </c>
      <c r="BH71" s="347" t="str">
        <f t="shared" si="338"/>
        <v/>
      </c>
      <c r="BI71" s="347" t="str">
        <f t="shared" si="339"/>
        <v/>
      </c>
      <c r="BJ71" s="347" t="str">
        <f t="shared" si="340"/>
        <v/>
      </c>
      <c r="BK71" s="347" t="str">
        <f t="shared" si="341"/>
        <v/>
      </c>
      <c r="BL71" s="347" t="str">
        <f t="shared" si="342"/>
        <v/>
      </c>
      <c r="BN71" s="67"/>
      <c r="BO71" s="67"/>
      <c r="CW71" s="209" t="str">
        <f t="shared" si="343"/>
        <v/>
      </c>
      <c r="CX71" s="204" t="str">
        <f t="shared" si="201"/>
        <v/>
      </c>
      <c r="CY71" s="43">
        <f t="shared" si="279"/>
        <v>0</v>
      </c>
      <c r="CZ71" s="214">
        <f t="shared" si="344"/>
        <v>0</v>
      </c>
      <c r="DA71" s="45">
        <f t="shared" si="280"/>
        <v>0</v>
      </c>
      <c r="DB71" s="46">
        <f t="shared" si="202"/>
        <v>0</v>
      </c>
      <c r="DC71" s="47" t="str">
        <f t="shared" si="281"/>
        <v/>
      </c>
      <c r="DD71" s="123">
        <f t="shared" si="203"/>
        <v>0</v>
      </c>
      <c r="DE71" s="123">
        <f t="shared" si="204"/>
        <v>0</v>
      </c>
      <c r="DF71" s="123">
        <f t="shared" si="205"/>
        <v>0</v>
      </c>
      <c r="DG71" s="215">
        <f>IF(DC71="",0,MAX(DD71:DE71:DF71))</f>
        <v>0</v>
      </c>
      <c r="DH71" s="216" t="str">
        <f t="shared" si="282"/>
        <v/>
      </c>
      <c r="DI71" s="217" t="str">
        <f t="shared" si="283"/>
        <v/>
      </c>
      <c r="DJ71" s="217" t="str">
        <f t="shared" si="284"/>
        <v/>
      </c>
      <c r="DK71" s="49" t="str">
        <f t="shared" si="206"/>
        <v/>
      </c>
      <c r="DL71" s="123">
        <f t="shared" si="207"/>
        <v>0</v>
      </c>
      <c r="DM71" s="123">
        <f t="shared" si="208"/>
        <v>0</v>
      </c>
      <c r="DN71" s="123">
        <f t="shared" si="209"/>
        <v>0</v>
      </c>
      <c r="DO71" s="215">
        <f>IF(DK71="",0,MAX(DL71:DM71:DN71))</f>
        <v>0</v>
      </c>
      <c r="DP71" s="216" t="str">
        <f t="shared" si="285"/>
        <v/>
      </c>
      <c r="DQ71" s="217" t="str">
        <f t="shared" si="286"/>
        <v/>
      </c>
      <c r="DR71" s="217" t="str">
        <f t="shared" si="287"/>
        <v/>
      </c>
      <c r="DS71" s="49" t="str">
        <f t="shared" si="210"/>
        <v/>
      </c>
      <c r="DT71" s="123">
        <f t="shared" si="211"/>
        <v>0</v>
      </c>
      <c r="DU71" s="123">
        <f t="shared" si="212"/>
        <v>0</v>
      </c>
      <c r="DV71" s="123">
        <f t="shared" si="213"/>
        <v>0</v>
      </c>
      <c r="DW71" s="215">
        <f>IF(DS71="",0,MAX(DT71:DU71:DV71))</f>
        <v>0</v>
      </c>
      <c r="DX71" s="216" t="str">
        <f t="shared" si="288"/>
        <v/>
      </c>
      <c r="DY71" s="217" t="str">
        <f t="shared" si="289"/>
        <v/>
      </c>
      <c r="DZ71" s="217" t="str">
        <f t="shared" si="290"/>
        <v/>
      </c>
      <c r="EA71" s="49" t="str">
        <f t="shared" si="214"/>
        <v/>
      </c>
      <c r="EB71" s="123">
        <f t="shared" si="215"/>
        <v>0</v>
      </c>
      <c r="EC71" s="123">
        <f t="shared" si="216"/>
        <v>0</v>
      </c>
      <c r="ED71" s="123">
        <f t="shared" si="217"/>
        <v>0</v>
      </c>
      <c r="EE71" s="215">
        <f>IF(EA71="",0,MAX(EB71:EC71:ED71))</f>
        <v>0</v>
      </c>
      <c r="EF71" s="216" t="str">
        <f t="shared" si="291"/>
        <v/>
      </c>
      <c r="EG71" s="217" t="str">
        <f t="shared" si="292"/>
        <v/>
      </c>
      <c r="EH71" s="217" t="str">
        <f t="shared" si="293"/>
        <v/>
      </c>
      <c r="EI71" s="49" t="str">
        <f t="shared" si="218"/>
        <v/>
      </c>
      <c r="EJ71" s="123">
        <f t="shared" si="219"/>
        <v>0</v>
      </c>
      <c r="EK71" s="123">
        <f t="shared" si="220"/>
        <v>0</v>
      </c>
      <c r="EL71" s="123">
        <f t="shared" si="221"/>
        <v>0</v>
      </c>
      <c r="EM71" s="215">
        <f>IF(EI71="",0,MAX(EJ71:EK71:EL71))</f>
        <v>0</v>
      </c>
      <c r="EN71" s="216" t="str">
        <f t="shared" si="294"/>
        <v/>
      </c>
      <c r="EO71" s="217" t="str">
        <f t="shared" si="295"/>
        <v/>
      </c>
      <c r="EP71" s="217" t="str">
        <f t="shared" si="296"/>
        <v/>
      </c>
      <c r="EQ71" s="49" t="str">
        <f t="shared" si="222"/>
        <v/>
      </c>
      <c r="ER71" s="123">
        <f t="shared" si="223"/>
        <v>0</v>
      </c>
      <c r="ES71" s="123">
        <f t="shared" si="224"/>
        <v>0</v>
      </c>
      <c r="ET71" s="123">
        <f t="shared" si="225"/>
        <v>0</v>
      </c>
      <c r="EU71" s="215">
        <f>IF(EQ71="",0,MAX(ER71:ES71:ET71))</f>
        <v>0</v>
      </c>
      <c r="EV71" s="216" t="str">
        <f t="shared" si="297"/>
        <v/>
      </c>
      <c r="EW71" s="217" t="str">
        <f t="shared" si="298"/>
        <v/>
      </c>
      <c r="EX71" s="217" t="str">
        <f t="shared" si="299"/>
        <v/>
      </c>
      <c r="EY71" s="49" t="str">
        <f t="shared" si="226"/>
        <v/>
      </c>
      <c r="EZ71" s="123">
        <f t="shared" si="227"/>
        <v>0</v>
      </c>
      <c r="FA71" s="123">
        <f t="shared" si="228"/>
        <v>0</v>
      </c>
      <c r="FB71" s="123">
        <f t="shared" si="229"/>
        <v>0</v>
      </c>
      <c r="FC71" s="215">
        <f>IF(EY71="",0,MAX(EZ71:FA71:FB71))</f>
        <v>0</v>
      </c>
      <c r="FD71" s="216" t="str">
        <f t="shared" si="300"/>
        <v/>
      </c>
      <c r="FE71" s="217" t="str">
        <f t="shared" si="301"/>
        <v/>
      </c>
      <c r="FF71" s="217" t="str">
        <f t="shared" si="302"/>
        <v/>
      </c>
      <c r="FG71" s="49" t="str">
        <f t="shared" si="230"/>
        <v/>
      </c>
      <c r="FH71" s="123">
        <f t="shared" si="231"/>
        <v>0</v>
      </c>
      <c r="FI71" s="123">
        <f t="shared" si="232"/>
        <v>0</v>
      </c>
      <c r="FJ71" s="123">
        <f t="shared" si="233"/>
        <v>0</v>
      </c>
      <c r="FK71" s="215">
        <f>IF(FG71="",0,MAX(FH71:FI71:FJ71))</f>
        <v>0</v>
      </c>
      <c r="FL71" s="216" t="str">
        <f t="shared" si="303"/>
        <v/>
      </c>
      <c r="FM71" s="217" t="str">
        <f t="shared" si="304"/>
        <v/>
      </c>
      <c r="FN71" s="217" t="str">
        <f t="shared" si="305"/>
        <v/>
      </c>
      <c r="FO71" s="49" t="str">
        <f t="shared" si="234"/>
        <v/>
      </c>
      <c r="FP71" s="123">
        <f t="shared" si="235"/>
        <v>0</v>
      </c>
      <c r="FQ71" s="123">
        <f t="shared" si="236"/>
        <v>0</v>
      </c>
      <c r="FR71" s="123">
        <f t="shared" si="237"/>
        <v>0</v>
      </c>
      <c r="FS71" s="215">
        <f>IF(FO71="",0,MAX(FP71:FQ71:FR71))</f>
        <v>0</v>
      </c>
      <c r="FT71" s="216" t="str">
        <f t="shared" si="306"/>
        <v/>
      </c>
      <c r="FU71" s="217" t="str">
        <f t="shared" si="307"/>
        <v/>
      </c>
      <c r="FV71" s="217" t="str">
        <f t="shared" si="308"/>
        <v/>
      </c>
      <c r="FW71" s="49" t="str">
        <f t="shared" si="238"/>
        <v/>
      </c>
      <c r="FX71" s="123">
        <f t="shared" si="239"/>
        <v>0</v>
      </c>
      <c r="FY71" s="123">
        <f t="shared" si="240"/>
        <v>0</v>
      </c>
      <c r="FZ71" s="123">
        <f t="shared" si="241"/>
        <v>0</v>
      </c>
      <c r="GA71" s="215">
        <f>IF(FW71="",0,MAX(FX71:FY71:FZ71))</f>
        <v>0</v>
      </c>
      <c r="GB71" s="216" t="str">
        <f t="shared" si="309"/>
        <v/>
      </c>
      <c r="GC71" s="217" t="str">
        <f t="shared" si="310"/>
        <v/>
      </c>
      <c r="GD71" s="217" t="str">
        <f t="shared" si="311"/>
        <v/>
      </c>
      <c r="GE71" s="49" t="str">
        <f t="shared" si="242"/>
        <v/>
      </c>
      <c r="GF71" s="123">
        <f t="shared" si="243"/>
        <v>0</v>
      </c>
      <c r="GG71" s="123">
        <f t="shared" si="244"/>
        <v>0</v>
      </c>
      <c r="GH71" s="123">
        <f t="shared" si="245"/>
        <v>0</v>
      </c>
      <c r="GI71" s="215">
        <f>IF(GE71="",0,MAX(GF71:GG71:GH71))</f>
        <v>0</v>
      </c>
      <c r="GJ71" s="216" t="str">
        <f t="shared" si="312"/>
        <v/>
      </c>
      <c r="GK71" s="217" t="str">
        <f t="shared" si="313"/>
        <v/>
      </c>
      <c r="GL71" s="217" t="str">
        <f t="shared" si="314"/>
        <v/>
      </c>
      <c r="GM71" s="49" t="str">
        <f t="shared" si="246"/>
        <v/>
      </c>
      <c r="GN71" s="123">
        <f t="shared" si="247"/>
        <v>0</v>
      </c>
      <c r="GO71" s="123">
        <f t="shared" si="248"/>
        <v>0</v>
      </c>
      <c r="GP71" s="123">
        <f t="shared" si="249"/>
        <v>0</v>
      </c>
      <c r="GQ71" s="215">
        <f>IF(GM71="",0,MAX(GN71:GO71:GP71))</f>
        <v>0</v>
      </c>
      <c r="GR71" s="216" t="str">
        <f t="shared" si="315"/>
        <v/>
      </c>
      <c r="GS71" s="217" t="str">
        <f t="shared" si="316"/>
        <v/>
      </c>
      <c r="GT71" s="217" t="str">
        <f t="shared" si="317"/>
        <v/>
      </c>
      <c r="GU71" s="49" t="str">
        <f t="shared" si="250"/>
        <v/>
      </c>
      <c r="GV71" s="123">
        <f t="shared" si="251"/>
        <v>0</v>
      </c>
      <c r="GW71" s="123">
        <f t="shared" si="252"/>
        <v>0</v>
      </c>
      <c r="GX71" s="123">
        <f t="shared" si="253"/>
        <v>0</v>
      </c>
      <c r="GY71" s="215">
        <f>IF(GU71="",0,MAX(GV71:GW71:GX71))</f>
        <v>0</v>
      </c>
      <c r="GZ71" s="216" t="str">
        <f t="shared" si="318"/>
        <v/>
      </c>
      <c r="HA71" s="217" t="str">
        <f t="shared" si="319"/>
        <v/>
      </c>
      <c r="HB71" s="217" t="str">
        <f t="shared" si="320"/>
        <v/>
      </c>
      <c r="HC71" s="49" t="str">
        <f t="shared" si="254"/>
        <v/>
      </c>
      <c r="HD71" s="123">
        <f t="shared" si="255"/>
        <v>0</v>
      </c>
      <c r="HE71" s="123">
        <f t="shared" si="256"/>
        <v>0</v>
      </c>
      <c r="HF71" s="123">
        <f t="shared" si="257"/>
        <v>0</v>
      </c>
      <c r="HG71" s="215">
        <f>IF(HC71="",0,MAX(HD71:HE71:HF71))</f>
        <v>0</v>
      </c>
      <c r="HH71" s="216" t="str">
        <f t="shared" si="321"/>
        <v/>
      </c>
      <c r="HI71" s="217" t="str">
        <f t="shared" si="322"/>
        <v/>
      </c>
      <c r="HJ71" s="217" t="str">
        <f t="shared" si="323"/>
        <v/>
      </c>
      <c r="HK71" s="49" t="str">
        <f t="shared" si="258"/>
        <v/>
      </c>
      <c r="HL71" s="123">
        <f t="shared" si="259"/>
        <v>0</v>
      </c>
      <c r="HM71" s="123">
        <f t="shared" si="260"/>
        <v>0</v>
      </c>
      <c r="HN71" s="123">
        <f t="shared" si="261"/>
        <v>0</v>
      </c>
      <c r="HO71" s="215">
        <f>IF(HK71="",0,MAX(HL71:HM71:HN71))</f>
        <v>0</v>
      </c>
      <c r="HP71" s="216" t="str">
        <f t="shared" si="324"/>
        <v/>
      </c>
      <c r="HQ71" s="217" t="str">
        <f t="shared" si="325"/>
        <v/>
      </c>
      <c r="HR71" s="217" t="str">
        <f t="shared" si="326"/>
        <v/>
      </c>
      <c r="HS71" s="49" t="str">
        <f t="shared" si="262"/>
        <v/>
      </c>
      <c r="HT71" s="123">
        <f t="shared" si="263"/>
        <v>0</v>
      </c>
      <c r="HU71" s="123">
        <f t="shared" si="264"/>
        <v>0</v>
      </c>
      <c r="HV71" s="123">
        <f t="shared" si="265"/>
        <v>0</v>
      </c>
      <c r="HW71" s="215">
        <f>IF(HS71="",0,MAX(HT71:HU71:HV71))</f>
        <v>0</v>
      </c>
      <c r="HX71" s="216" t="str">
        <f t="shared" si="327"/>
        <v/>
      </c>
      <c r="HY71" s="217" t="str">
        <f t="shared" si="328"/>
        <v/>
      </c>
      <c r="HZ71" s="217" t="str">
        <f t="shared" si="329"/>
        <v/>
      </c>
      <c r="IA71" s="49" t="str">
        <f t="shared" si="266"/>
        <v/>
      </c>
      <c r="IB71" s="123">
        <f t="shared" si="267"/>
        <v>0</v>
      </c>
      <c r="IC71" s="123">
        <f t="shared" si="268"/>
        <v>0</v>
      </c>
      <c r="ID71" s="123">
        <f t="shared" si="269"/>
        <v>0</v>
      </c>
      <c r="IE71" s="215">
        <f>IF(IA71="",0,MAX(IB71:IC71:ID71))</f>
        <v>0</v>
      </c>
      <c r="IF71" s="216" t="str">
        <f t="shared" si="330"/>
        <v/>
      </c>
      <c r="IG71" s="217" t="str">
        <f t="shared" si="331"/>
        <v/>
      </c>
      <c r="IH71" s="217" t="str">
        <f t="shared" si="332"/>
        <v/>
      </c>
      <c r="II71" s="49" t="str">
        <f t="shared" si="270"/>
        <v/>
      </c>
      <c r="IJ71" s="123">
        <f t="shared" si="271"/>
        <v>0</v>
      </c>
      <c r="IK71" s="123">
        <f t="shared" si="272"/>
        <v>0</v>
      </c>
      <c r="IL71" s="123">
        <f t="shared" si="273"/>
        <v>0</v>
      </c>
      <c r="IM71" s="215">
        <f>IF(II71="",0,MAX(IJ71:IK71:IL71))</f>
        <v>0</v>
      </c>
      <c r="IN71" s="216" t="str">
        <f t="shared" si="333"/>
        <v/>
      </c>
      <c r="IO71" s="217" t="str">
        <f t="shared" si="334"/>
        <v/>
      </c>
      <c r="IP71" s="217" t="str">
        <f t="shared" si="335"/>
        <v/>
      </c>
      <c r="IQ71" s="49" t="str">
        <f t="shared" si="274"/>
        <v/>
      </c>
      <c r="IR71" s="123">
        <f t="shared" si="275"/>
        <v>0</v>
      </c>
      <c r="IS71" s="123">
        <f t="shared" si="276"/>
        <v>0</v>
      </c>
      <c r="IT71" s="123">
        <f t="shared" si="277"/>
        <v>0</v>
      </c>
      <c r="IU71" s="215">
        <f>IF(IQ71="",0,MAX(IR71:IS71:IT71))</f>
        <v>0</v>
      </c>
    </row>
    <row r="72" spans="48:255" ht="13.3" thickTop="1" thickBot="1" x14ac:dyDescent="0.35">
      <c r="AV72" s="345" t="str">
        <f t="shared" si="345"/>
        <v/>
      </c>
      <c r="AW72" s="15"/>
      <c r="BF72" s="345">
        <f t="shared" si="336"/>
        <v>1</v>
      </c>
      <c r="BG72" s="347" t="str">
        <f t="shared" si="337"/>
        <v/>
      </c>
      <c r="BH72" s="347" t="str">
        <f t="shared" si="338"/>
        <v/>
      </c>
      <c r="BI72" s="347" t="str">
        <f t="shared" si="339"/>
        <v/>
      </c>
      <c r="BJ72" s="347" t="str">
        <f t="shared" si="340"/>
        <v/>
      </c>
      <c r="BK72" s="347" t="str">
        <f t="shared" si="341"/>
        <v/>
      </c>
      <c r="BL72" s="347" t="str">
        <f t="shared" si="342"/>
        <v/>
      </c>
      <c r="BN72" s="67"/>
      <c r="BO72" s="67"/>
      <c r="CW72" s="209" t="str">
        <f t="shared" si="343"/>
        <v/>
      </c>
      <c r="CX72" s="204" t="str">
        <f t="shared" si="201"/>
        <v/>
      </c>
      <c r="CY72" s="43">
        <f t="shared" si="279"/>
        <v>0</v>
      </c>
      <c r="CZ72" s="214">
        <f t="shared" si="344"/>
        <v>0</v>
      </c>
      <c r="DA72" s="45">
        <f t="shared" si="280"/>
        <v>0</v>
      </c>
      <c r="DB72" s="46">
        <f t="shared" si="202"/>
        <v>0</v>
      </c>
      <c r="DC72" s="47" t="str">
        <f t="shared" si="281"/>
        <v/>
      </c>
      <c r="DD72" s="123">
        <f t="shared" si="203"/>
        <v>0</v>
      </c>
      <c r="DE72" s="123">
        <f t="shared" si="204"/>
        <v>0</v>
      </c>
      <c r="DF72" s="123">
        <f t="shared" si="205"/>
        <v>0</v>
      </c>
      <c r="DG72" s="215">
        <f>IF(DC72="",0,MAX(DD72:DE72:DF72))</f>
        <v>0</v>
      </c>
      <c r="DH72" s="216" t="str">
        <f t="shared" si="282"/>
        <v/>
      </c>
      <c r="DI72" s="217" t="str">
        <f t="shared" si="283"/>
        <v/>
      </c>
      <c r="DJ72" s="217" t="str">
        <f t="shared" si="284"/>
        <v/>
      </c>
      <c r="DK72" s="49" t="str">
        <f t="shared" si="206"/>
        <v/>
      </c>
      <c r="DL72" s="123">
        <f t="shared" si="207"/>
        <v>0</v>
      </c>
      <c r="DM72" s="123">
        <f t="shared" si="208"/>
        <v>0</v>
      </c>
      <c r="DN72" s="123">
        <f t="shared" si="209"/>
        <v>0</v>
      </c>
      <c r="DO72" s="215">
        <f>IF(DK72="",0,MAX(DL72:DM72:DN72))</f>
        <v>0</v>
      </c>
      <c r="DP72" s="216" t="str">
        <f t="shared" si="285"/>
        <v/>
      </c>
      <c r="DQ72" s="217" t="str">
        <f t="shared" si="286"/>
        <v/>
      </c>
      <c r="DR72" s="217" t="str">
        <f t="shared" si="287"/>
        <v/>
      </c>
      <c r="DS72" s="49" t="str">
        <f t="shared" si="210"/>
        <v/>
      </c>
      <c r="DT72" s="123">
        <f t="shared" si="211"/>
        <v>0</v>
      </c>
      <c r="DU72" s="123">
        <f t="shared" si="212"/>
        <v>0</v>
      </c>
      <c r="DV72" s="123">
        <f t="shared" si="213"/>
        <v>0</v>
      </c>
      <c r="DW72" s="215">
        <f>IF(DS72="",0,MAX(DT72:DU72:DV72))</f>
        <v>0</v>
      </c>
      <c r="DX72" s="216" t="str">
        <f t="shared" si="288"/>
        <v/>
      </c>
      <c r="DY72" s="217" t="str">
        <f t="shared" si="289"/>
        <v/>
      </c>
      <c r="DZ72" s="217" t="str">
        <f t="shared" si="290"/>
        <v/>
      </c>
      <c r="EA72" s="49" t="str">
        <f t="shared" si="214"/>
        <v/>
      </c>
      <c r="EB72" s="123">
        <f t="shared" si="215"/>
        <v>0</v>
      </c>
      <c r="EC72" s="123">
        <f t="shared" si="216"/>
        <v>0</v>
      </c>
      <c r="ED72" s="123">
        <f t="shared" si="217"/>
        <v>0</v>
      </c>
      <c r="EE72" s="215">
        <f>IF(EA72="",0,MAX(EB72:EC72:ED72))</f>
        <v>0</v>
      </c>
      <c r="EF72" s="216" t="str">
        <f t="shared" si="291"/>
        <v/>
      </c>
      <c r="EG72" s="217" t="str">
        <f t="shared" si="292"/>
        <v/>
      </c>
      <c r="EH72" s="217" t="str">
        <f t="shared" si="293"/>
        <v/>
      </c>
      <c r="EI72" s="49" t="str">
        <f t="shared" si="218"/>
        <v/>
      </c>
      <c r="EJ72" s="123">
        <f t="shared" si="219"/>
        <v>0</v>
      </c>
      <c r="EK72" s="123">
        <f t="shared" si="220"/>
        <v>0</v>
      </c>
      <c r="EL72" s="123">
        <f t="shared" si="221"/>
        <v>0</v>
      </c>
      <c r="EM72" s="215">
        <f>IF(EI72="",0,MAX(EJ72:EK72:EL72))</f>
        <v>0</v>
      </c>
      <c r="EN72" s="216" t="str">
        <f t="shared" si="294"/>
        <v/>
      </c>
      <c r="EO72" s="217" t="str">
        <f t="shared" si="295"/>
        <v/>
      </c>
      <c r="EP72" s="217" t="str">
        <f t="shared" si="296"/>
        <v/>
      </c>
      <c r="EQ72" s="49" t="str">
        <f t="shared" si="222"/>
        <v/>
      </c>
      <c r="ER72" s="123">
        <f t="shared" si="223"/>
        <v>0</v>
      </c>
      <c r="ES72" s="123">
        <f t="shared" si="224"/>
        <v>0</v>
      </c>
      <c r="ET72" s="123">
        <f t="shared" si="225"/>
        <v>0</v>
      </c>
      <c r="EU72" s="215">
        <f>IF(EQ72="",0,MAX(ER72:ES72:ET72))</f>
        <v>0</v>
      </c>
      <c r="EV72" s="216" t="str">
        <f t="shared" si="297"/>
        <v/>
      </c>
      <c r="EW72" s="217" t="str">
        <f t="shared" si="298"/>
        <v/>
      </c>
      <c r="EX72" s="217" t="str">
        <f t="shared" si="299"/>
        <v/>
      </c>
      <c r="EY72" s="49" t="str">
        <f t="shared" si="226"/>
        <v/>
      </c>
      <c r="EZ72" s="123">
        <f t="shared" si="227"/>
        <v>0</v>
      </c>
      <c r="FA72" s="123">
        <f t="shared" si="228"/>
        <v>0</v>
      </c>
      <c r="FB72" s="123">
        <f t="shared" si="229"/>
        <v>0</v>
      </c>
      <c r="FC72" s="215">
        <f>IF(EY72="",0,MAX(EZ72:FA72:FB72))</f>
        <v>0</v>
      </c>
      <c r="FD72" s="216" t="str">
        <f t="shared" si="300"/>
        <v/>
      </c>
      <c r="FE72" s="217" t="str">
        <f t="shared" si="301"/>
        <v/>
      </c>
      <c r="FF72" s="217" t="str">
        <f t="shared" si="302"/>
        <v/>
      </c>
      <c r="FG72" s="49" t="str">
        <f t="shared" si="230"/>
        <v/>
      </c>
      <c r="FH72" s="123">
        <f t="shared" si="231"/>
        <v>0</v>
      </c>
      <c r="FI72" s="123">
        <f t="shared" si="232"/>
        <v>0</v>
      </c>
      <c r="FJ72" s="123">
        <f t="shared" si="233"/>
        <v>0</v>
      </c>
      <c r="FK72" s="215">
        <f>IF(FG72="",0,MAX(FH72:FI72:FJ72))</f>
        <v>0</v>
      </c>
      <c r="FL72" s="216" t="str">
        <f t="shared" si="303"/>
        <v/>
      </c>
      <c r="FM72" s="217" t="str">
        <f t="shared" si="304"/>
        <v/>
      </c>
      <c r="FN72" s="217" t="str">
        <f t="shared" si="305"/>
        <v/>
      </c>
      <c r="FO72" s="49" t="str">
        <f t="shared" si="234"/>
        <v/>
      </c>
      <c r="FP72" s="123">
        <f t="shared" si="235"/>
        <v>0</v>
      </c>
      <c r="FQ72" s="123">
        <f t="shared" si="236"/>
        <v>0</v>
      </c>
      <c r="FR72" s="123">
        <f t="shared" si="237"/>
        <v>0</v>
      </c>
      <c r="FS72" s="215">
        <f>IF(FO72="",0,MAX(FP72:FQ72:FR72))</f>
        <v>0</v>
      </c>
      <c r="FT72" s="216" t="str">
        <f t="shared" si="306"/>
        <v/>
      </c>
      <c r="FU72" s="217" t="str">
        <f t="shared" si="307"/>
        <v/>
      </c>
      <c r="FV72" s="217" t="str">
        <f t="shared" si="308"/>
        <v/>
      </c>
      <c r="FW72" s="49" t="str">
        <f t="shared" si="238"/>
        <v/>
      </c>
      <c r="FX72" s="123">
        <f t="shared" si="239"/>
        <v>0</v>
      </c>
      <c r="FY72" s="123">
        <f t="shared" si="240"/>
        <v>0</v>
      </c>
      <c r="FZ72" s="123">
        <f t="shared" si="241"/>
        <v>0</v>
      </c>
      <c r="GA72" s="215">
        <f>IF(FW72="",0,MAX(FX72:FY72:FZ72))</f>
        <v>0</v>
      </c>
      <c r="GB72" s="216" t="str">
        <f t="shared" si="309"/>
        <v/>
      </c>
      <c r="GC72" s="217" t="str">
        <f t="shared" si="310"/>
        <v/>
      </c>
      <c r="GD72" s="217" t="str">
        <f t="shared" si="311"/>
        <v/>
      </c>
      <c r="GE72" s="49" t="str">
        <f t="shared" si="242"/>
        <v/>
      </c>
      <c r="GF72" s="123">
        <f t="shared" si="243"/>
        <v>0</v>
      </c>
      <c r="GG72" s="123">
        <f t="shared" si="244"/>
        <v>0</v>
      </c>
      <c r="GH72" s="123">
        <f t="shared" si="245"/>
        <v>0</v>
      </c>
      <c r="GI72" s="215">
        <f>IF(GE72="",0,MAX(GF72:GG72:GH72))</f>
        <v>0</v>
      </c>
      <c r="GJ72" s="216" t="str">
        <f t="shared" si="312"/>
        <v/>
      </c>
      <c r="GK72" s="217" t="str">
        <f t="shared" si="313"/>
        <v/>
      </c>
      <c r="GL72" s="217" t="str">
        <f t="shared" si="314"/>
        <v/>
      </c>
      <c r="GM72" s="49" t="str">
        <f t="shared" si="246"/>
        <v/>
      </c>
      <c r="GN72" s="123">
        <f t="shared" si="247"/>
        <v>0</v>
      </c>
      <c r="GO72" s="123">
        <f t="shared" si="248"/>
        <v>0</v>
      </c>
      <c r="GP72" s="123">
        <f t="shared" si="249"/>
        <v>0</v>
      </c>
      <c r="GQ72" s="215">
        <f>IF(GM72="",0,MAX(GN72:GO72:GP72))</f>
        <v>0</v>
      </c>
      <c r="GR72" s="216" t="str">
        <f t="shared" si="315"/>
        <v/>
      </c>
      <c r="GS72" s="217" t="str">
        <f t="shared" si="316"/>
        <v/>
      </c>
      <c r="GT72" s="217" t="str">
        <f t="shared" si="317"/>
        <v/>
      </c>
      <c r="GU72" s="49" t="str">
        <f t="shared" si="250"/>
        <v/>
      </c>
      <c r="GV72" s="123">
        <f t="shared" si="251"/>
        <v>0</v>
      </c>
      <c r="GW72" s="123">
        <f t="shared" si="252"/>
        <v>0</v>
      </c>
      <c r="GX72" s="123">
        <f t="shared" si="253"/>
        <v>0</v>
      </c>
      <c r="GY72" s="215">
        <f>IF(GU72="",0,MAX(GV72:GW72:GX72))</f>
        <v>0</v>
      </c>
      <c r="GZ72" s="216" t="str">
        <f t="shared" si="318"/>
        <v/>
      </c>
      <c r="HA72" s="217" t="str">
        <f t="shared" si="319"/>
        <v/>
      </c>
      <c r="HB72" s="217" t="str">
        <f t="shared" si="320"/>
        <v/>
      </c>
      <c r="HC72" s="49" t="str">
        <f t="shared" si="254"/>
        <v/>
      </c>
      <c r="HD72" s="123">
        <f t="shared" si="255"/>
        <v>0</v>
      </c>
      <c r="HE72" s="123">
        <f t="shared" si="256"/>
        <v>0</v>
      </c>
      <c r="HF72" s="123">
        <f t="shared" si="257"/>
        <v>0</v>
      </c>
      <c r="HG72" s="215">
        <f>IF(HC72="",0,MAX(HD72:HE72:HF72))</f>
        <v>0</v>
      </c>
      <c r="HH72" s="216" t="str">
        <f t="shared" si="321"/>
        <v/>
      </c>
      <c r="HI72" s="217" t="str">
        <f t="shared" si="322"/>
        <v/>
      </c>
      <c r="HJ72" s="217" t="str">
        <f t="shared" si="323"/>
        <v/>
      </c>
      <c r="HK72" s="49" t="str">
        <f t="shared" si="258"/>
        <v/>
      </c>
      <c r="HL72" s="123">
        <f t="shared" si="259"/>
        <v>0</v>
      </c>
      <c r="HM72" s="123">
        <f t="shared" si="260"/>
        <v>0</v>
      </c>
      <c r="HN72" s="123">
        <f t="shared" si="261"/>
        <v>0</v>
      </c>
      <c r="HO72" s="215">
        <f>IF(HK72="",0,MAX(HL72:HM72:HN72))</f>
        <v>0</v>
      </c>
      <c r="HP72" s="216" t="str">
        <f t="shared" si="324"/>
        <v/>
      </c>
      <c r="HQ72" s="217" t="str">
        <f t="shared" si="325"/>
        <v/>
      </c>
      <c r="HR72" s="217" t="str">
        <f t="shared" si="326"/>
        <v/>
      </c>
      <c r="HS72" s="49" t="str">
        <f t="shared" si="262"/>
        <v/>
      </c>
      <c r="HT72" s="123">
        <f t="shared" si="263"/>
        <v>0</v>
      </c>
      <c r="HU72" s="123">
        <f t="shared" si="264"/>
        <v>0</v>
      </c>
      <c r="HV72" s="123">
        <f t="shared" si="265"/>
        <v>0</v>
      </c>
      <c r="HW72" s="215">
        <f>IF(HS72="",0,MAX(HT72:HU72:HV72))</f>
        <v>0</v>
      </c>
      <c r="HX72" s="216" t="str">
        <f t="shared" si="327"/>
        <v/>
      </c>
      <c r="HY72" s="217" t="str">
        <f t="shared" si="328"/>
        <v/>
      </c>
      <c r="HZ72" s="217" t="str">
        <f t="shared" si="329"/>
        <v/>
      </c>
      <c r="IA72" s="49" t="str">
        <f t="shared" si="266"/>
        <v/>
      </c>
      <c r="IB72" s="123">
        <f t="shared" si="267"/>
        <v>0</v>
      </c>
      <c r="IC72" s="123">
        <f t="shared" si="268"/>
        <v>0</v>
      </c>
      <c r="ID72" s="123">
        <f t="shared" si="269"/>
        <v>0</v>
      </c>
      <c r="IE72" s="215">
        <f>IF(IA72="",0,MAX(IB72:IC72:ID72))</f>
        <v>0</v>
      </c>
      <c r="IF72" s="216" t="str">
        <f t="shared" si="330"/>
        <v/>
      </c>
      <c r="IG72" s="217" t="str">
        <f t="shared" si="331"/>
        <v/>
      </c>
      <c r="IH72" s="217" t="str">
        <f t="shared" si="332"/>
        <v/>
      </c>
      <c r="II72" s="49" t="str">
        <f t="shared" si="270"/>
        <v/>
      </c>
      <c r="IJ72" s="123">
        <f t="shared" si="271"/>
        <v>0</v>
      </c>
      <c r="IK72" s="123">
        <f t="shared" si="272"/>
        <v>0</v>
      </c>
      <c r="IL72" s="123">
        <f t="shared" si="273"/>
        <v>0</v>
      </c>
      <c r="IM72" s="215">
        <f>IF(II72="",0,MAX(IJ72:IK72:IL72))</f>
        <v>0</v>
      </c>
      <c r="IN72" s="216" t="str">
        <f t="shared" si="333"/>
        <v/>
      </c>
      <c r="IO72" s="217" t="str">
        <f t="shared" si="334"/>
        <v/>
      </c>
      <c r="IP72" s="217" t="str">
        <f t="shared" si="335"/>
        <v/>
      </c>
      <c r="IQ72" s="49" t="str">
        <f t="shared" si="274"/>
        <v/>
      </c>
      <c r="IR72" s="123">
        <f t="shared" si="275"/>
        <v>0</v>
      </c>
      <c r="IS72" s="123">
        <f t="shared" si="276"/>
        <v>0</v>
      </c>
      <c r="IT72" s="123">
        <f t="shared" si="277"/>
        <v>0</v>
      </c>
      <c r="IU72" s="215">
        <f>IF(IQ72="",0,MAX(IR72:IS72:IT72))</f>
        <v>0</v>
      </c>
    </row>
    <row r="73" spans="48:255" ht="13.3" thickTop="1" thickBot="1" x14ac:dyDescent="0.35">
      <c r="AV73" s="345" t="str">
        <f t="shared" si="345"/>
        <v/>
      </c>
      <c r="AW73" s="15"/>
      <c r="BF73" s="345">
        <f t="shared" si="336"/>
        <v>1</v>
      </c>
      <c r="BG73" s="347" t="str">
        <f t="shared" si="337"/>
        <v/>
      </c>
      <c r="BH73" s="347" t="str">
        <f t="shared" si="338"/>
        <v/>
      </c>
      <c r="BI73" s="347" t="str">
        <f t="shared" si="339"/>
        <v/>
      </c>
      <c r="BJ73" s="347" t="str">
        <f t="shared" si="340"/>
        <v/>
      </c>
      <c r="BK73" s="347" t="str">
        <f t="shared" si="341"/>
        <v/>
      </c>
      <c r="BL73" s="347" t="str">
        <f t="shared" si="342"/>
        <v/>
      </c>
      <c r="BN73" s="67"/>
      <c r="BO73" s="67"/>
      <c r="CW73" s="209" t="str">
        <f t="shared" si="343"/>
        <v/>
      </c>
      <c r="CX73" s="204" t="str">
        <f t="shared" si="201"/>
        <v/>
      </c>
      <c r="CY73" s="43">
        <f t="shared" si="279"/>
        <v>0</v>
      </c>
      <c r="CZ73" s="214">
        <f t="shared" si="344"/>
        <v>0</v>
      </c>
      <c r="DA73" s="45">
        <f t="shared" si="280"/>
        <v>0</v>
      </c>
      <c r="DB73" s="46">
        <f t="shared" si="202"/>
        <v>0</v>
      </c>
      <c r="DC73" s="47" t="str">
        <f t="shared" si="281"/>
        <v/>
      </c>
      <c r="DD73" s="123">
        <f t="shared" si="203"/>
        <v>0</v>
      </c>
      <c r="DE73" s="123">
        <f t="shared" si="204"/>
        <v>0</v>
      </c>
      <c r="DF73" s="123">
        <f t="shared" si="205"/>
        <v>0</v>
      </c>
      <c r="DG73" s="215">
        <f>IF(DC73="",0,MAX(DD73:DE73:DF73))</f>
        <v>0</v>
      </c>
      <c r="DH73" s="216" t="str">
        <f t="shared" si="282"/>
        <v/>
      </c>
      <c r="DI73" s="217" t="str">
        <f t="shared" si="283"/>
        <v/>
      </c>
      <c r="DJ73" s="217" t="str">
        <f t="shared" si="284"/>
        <v/>
      </c>
      <c r="DK73" s="49" t="str">
        <f t="shared" si="206"/>
        <v/>
      </c>
      <c r="DL73" s="123">
        <f t="shared" si="207"/>
        <v>0</v>
      </c>
      <c r="DM73" s="123">
        <f t="shared" si="208"/>
        <v>0</v>
      </c>
      <c r="DN73" s="123">
        <f t="shared" si="209"/>
        <v>0</v>
      </c>
      <c r="DO73" s="215">
        <f>IF(DK73="",0,MAX(DL73:DM73:DN73))</f>
        <v>0</v>
      </c>
      <c r="DP73" s="216" t="str">
        <f t="shared" si="285"/>
        <v/>
      </c>
      <c r="DQ73" s="217" t="str">
        <f t="shared" si="286"/>
        <v/>
      </c>
      <c r="DR73" s="217" t="str">
        <f t="shared" si="287"/>
        <v/>
      </c>
      <c r="DS73" s="49" t="str">
        <f t="shared" si="210"/>
        <v/>
      </c>
      <c r="DT73" s="123">
        <f t="shared" si="211"/>
        <v>0</v>
      </c>
      <c r="DU73" s="123">
        <f t="shared" si="212"/>
        <v>0</v>
      </c>
      <c r="DV73" s="123">
        <f t="shared" si="213"/>
        <v>0</v>
      </c>
      <c r="DW73" s="215">
        <f>IF(DS73="",0,MAX(DT73:DU73:DV73))</f>
        <v>0</v>
      </c>
      <c r="DX73" s="216" t="str">
        <f t="shared" si="288"/>
        <v/>
      </c>
      <c r="DY73" s="217" t="str">
        <f t="shared" si="289"/>
        <v/>
      </c>
      <c r="DZ73" s="217" t="str">
        <f t="shared" si="290"/>
        <v/>
      </c>
      <c r="EA73" s="49" t="str">
        <f t="shared" si="214"/>
        <v/>
      </c>
      <c r="EB73" s="123">
        <f t="shared" si="215"/>
        <v>0</v>
      </c>
      <c r="EC73" s="123">
        <f t="shared" si="216"/>
        <v>0</v>
      </c>
      <c r="ED73" s="123">
        <f t="shared" si="217"/>
        <v>0</v>
      </c>
      <c r="EE73" s="215">
        <f>IF(EA73="",0,MAX(EB73:EC73:ED73))</f>
        <v>0</v>
      </c>
      <c r="EF73" s="216" t="str">
        <f t="shared" si="291"/>
        <v/>
      </c>
      <c r="EG73" s="217" t="str">
        <f t="shared" si="292"/>
        <v/>
      </c>
      <c r="EH73" s="217" t="str">
        <f t="shared" si="293"/>
        <v/>
      </c>
      <c r="EI73" s="49" t="str">
        <f t="shared" si="218"/>
        <v/>
      </c>
      <c r="EJ73" s="123">
        <f t="shared" si="219"/>
        <v>0</v>
      </c>
      <c r="EK73" s="123">
        <f t="shared" si="220"/>
        <v>0</v>
      </c>
      <c r="EL73" s="123">
        <f t="shared" si="221"/>
        <v>0</v>
      </c>
      <c r="EM73" s="215">
        <f>IF(EI73="",0,MAX(EJ73:EK73:EL73))</f>
        <v>0</v>
      </c>
      <c r="EN73" s="216" t="str">
        <f t="shared" si="294"/>
        <v/>
      </c>
      <c r="EO73" s="217" t="str">
        <f t="shared" si="295"/>
        <v/>
      </c>
      <c r="EP73" s="217" t="str">
        <f t="shared" si="296"/>
        <v/>
      </c>
      <c r="EQ73" s="49" t="str">
        <f t="shared" si="222"/>
        <v/>
      </c>
      <c r="ER73" s="123">
        <f t="shared" si="223"/>
        <v>0</v>
      </c>
      <c r="ES73" s="123">
        <f t="shared" si="224"/>
        <v>0</v>
      </c>
      <c r="ET73" s="123">
        <f t="shared" si="225"/>
        <v>0</v>
      </c>
      <c r="EU73" s="215">
        <f>IF(EQ73="",0,MAX(ER73:ES73:ET73))</f>
        <v>0</v>
      </c>
      <c r="EV73" s="216" t="str">
        <f t="shared" si="297"/>
        <v/>
      </c>
      <c r="EW73" s="217" t="str">
        <f t="shared" si="298"/>
        <v/>
      </c>
      <c r="EX73" s="217" t="str">
        <f t="shared" si="299"/>
        <v/>
      </c>
      <c r="EY73" s="49" t="str">
        <f t="shared" si="226"/>
        <v/>
      </c>
      <c r="EZ73" s="123">
        <f t="shared" si="227"/>
        <v>0</v>
      </c>
      <c r="FA73" s="123">
        <f t="shared" si="228"/>
        <v>0</v>
      </c>
      <c r="FB73" s="123">
        <f t="shared" si="229"/>
        <v>0</v>
      </c>
      <c r="FC73" s="215">
        <f>IF(EY73="",0,MAX(EZ73:FA73:FB73))</f>
        <v>0</v>
      </c>
      <c r="FD73" s="216" t="str">
        <f t="shared" si="300"/>
        <v/>
      </c>
      <c r="FE73" s="217" t="str">
        <f t="shared" si="301"/>
        <v/>
      </c>
      <c r="FF73" s="217" t="str">
        <f t="shared" si="302"/>
        <v/>
      </c>
      <c r="FG73" s="49" t="str">
        <f t="shared" si="230"/>
        <v/>
      </c>
      <c r="FH73" s="123">
        <f t="shared" si="231"/>
        <v>0</v>
      </c>
      <c r="FI73" s="123">
        <f t="shared" si="232"/>
        <v>0</v>
      </c>
      <c r="FJ73" s="123">
        <f t="shared" si="233"/>
        <v>0</v>
      </c>
      <c r="FK73" s="215">
        <f>IF(FG73="",0,MAX(FH73:FI73:FJ73))</f>
        <v>0</v>
      </c>
      <c r="FL73" s="216" t="str">
        <f t="shared" si="303"/>
        <v/>
      </c>
      <c r="FM73" s="217" t="str">
        <f t="shared" si="304"/>
        <v/>
      </c>
      <c r="FN73" s="217" t="str">
        <f t="shared" si="305"/>
        <v/>
      </c>
      <c r="FO73" s="49" t="str">
        <f t="shared" si="234"/>
        <v/>
      </c>
      <c r="FP73" s="123">
        <f t="shared" si="235"/>
        <v>0</v>
      </c>
      <c r="FQ73" s="123">
        <f t="shared" si="236"/>
        <v>0</v>
      </c>
      <c r="FR73" s="123">
        <f t="shared" si="237"/>
        <v>0</v>
      </c>
      <c r="FS73" s="215">
        <f>IF(FO73="",0,MAX(FP73:FQ73:FR73))</f>
        <v>0</v>
      </c>
      <c r="FT73" s="216" t="str">
        <f t="shared" si="306"/>
        <v/>
      </c>
      <c r="FU73" s="217" t="str">
        <f t="shared" si="307"/>
        <v/>
      </c>
      <c r="FV73" s="217" t="str">
        <f t="shared" si="308"/>
        <v/>
      </c>
      <c r="FW73" s="49" t="str">
        <f t="shared" si="238"/>
        <v/>
      </c>
      <c r="FX73" s="123">
        <f t="shared" si="239"/>
        <v>0</v>
      </c>
      <c r="FY73" s="123">
        <f t="shared" si="240"/>
        <v>0</v>
      </c>
      <c r="FZ73" s="123">
        <f t="shared" si="241"/>
        <v>0</v>
      </c>
      <c r="GA73" s="215">
        <f>IF(FW73="",0,MAX(FX73:FY73:FZ73))</f>
        <v>0</v>
      </c>
      <c r="GB73" s="216" t="str">
        <f t="shared" si="309"/>
        <v/>
      </c>
      <c r="GC73" s="217" t="str">
        <f t="shared" si="310"/>
        <v/>
      </c>
      <c r="GD73" s="217" t="str">
        <f t="shared" si="311"/>
        <v/>
      </c>
      <c r="GE73" s="49" t="str">
        <f t="shared" si="242"/>
        <v/>
      </c>
      <c r="GF73" s="123">
        <f t="shared" si="243"/>
        <v>0</v>
      </c>
      <c r="GG73" s="123">
        <f t="shared" si="244"/>
        <v>0</v>
      </c>
      <c r="GH73" s="123">
        <f t="shared" si="245"/>
        <v>0</v>
      </c>
      <c r="GI73" s="215">
        <f>IF(GE73="",0,MAX(GF73:GG73:GH73))</f>
        <v>0</v>
      </c>
      <c r="GJ73" s="216" t="str">
        <f t="shared" si="312"/>
        <v/>
      </c>
      <c r="GK73" s="217" t="str">
        <f t="shared" si="313"/>
        <v/>
      </c>
      <c r="GL73" s="217" t="str">
        <f t="shared" si="314"/>
        <v/>
      </c>
      <c r="GM73" s="49" t="str">
        <f t="shared" si="246"/>
        <v/>
      </c>
      <c r="GN73" s="123">
        <f t="shared" si="247"/>
        <v>0</v>
      </c>
      <c r="GO73" s="123">
        <f t="shared" si="248"/>
        <v>0</v>
      </c>
      <c r="GP73" s="123">
        <f t="shared" si="249"/>
        <v>0</v>
      </c>
      <c r="GQ73" s="215">
        <f>IF(GM73="",0,MAX(GN73:GO73:GP73))</f>
        <v>0</v>
      </c>
      <c r="GR73" s="216" t="str">
        <f t="shared" si="315"/>
        <v/>
      </c>
      <c r="GS73" s="217" t="str">
        <f t="shared" si="316"/>
        <v/>
      </c>
      <c r="GT73" s="217" t="str">
        <f t="shared" si="317"/>
        <v/>
      </c>
      <c r="GU73" s="49" t="str">
        <f t="shared" si="250"/>
        <v/>
      </c>
      <c r="GV73" s="123">
        <f t="shared" si="251"/>
        <v>0</v>
      </c>
      <c r="GW73" s="123">
        <f t="shared" si="252"/>
        <v>0</v>
      </c>
      <c r="GX73" s="123">
        <f t="shared" si="253"/>
        <v>0</v>
      </c>
      <c r="GY73" s="215">
        <f>IF(GU73="",0,MAX(GV73:GW73:GX73))</f>
        <v>0</v>
      </c>
      <c r="GZ73" s="216" t="str">
        <f t="shared" si="318"/>
        <v/>
      </c>
      <c r="HA73" s="217" t="str">
        <f t="shared" si="319"/>
        <v/>
      </c>
      <c r="HB73" s="217" t="str">
        <f t="shared" si="320"/>
        <v/>
      </c>
      <c r="HC73" s="49" t="str">
        <f t="shared" si="254"/>
        <v/>
      </c>
      <c r="HD73" s="123">
        <f t="shared" si="255"/>
        <v>0</v>
      </c>
      <c r="HE73" s="123">
        <f t="shared" si="256"/>
        <v>0</v>
      </c>
      <c r="HF73" s="123">
        <f t="shared" si="257"/>
        <v>0</v>
      </c>
      <c r="HG73" s="215">
        <f>IF(HC73="",0,MAX(HD73:HE73:HF73))</f>
        <v>0</v>
      </c>
      <c r="HH73" s="216" t="str">
        <f t="shared" si="321"/>
        <v/>
      </c>
      <c r="HI73" s="217" t="str">
        <f t="shared" si="322"/>
        <v/>
      </c>
      <c r="HJ73" s="217" t="str">
        <f t="shared" si="323"/>
        <v/>
      </c>
      <c r="HK73" s="49" t="str">
        <f t="shared" si="258"/>
        <v/>
      </c>
      <c r="HL73" s="123">
        <f t="shared" si="259"/>
        <v>0</v>
      </c>
      <c r="HM73" s="123">
        <f t="shared" si="260"/>
        <v>0</v>
      </c>
      <c r="HN73" s="123">
        <f t="shared" si="261"/>
        <v>0</v>
      </c>
      <c r="HO73" s="215">
        <f>IF(HK73="",0,MAX(HL73:HM73:HN73))</f>
        <v>0</v>
      </c>
      <c r="HP73" s="216" t="str">
        <f t="shared" si="324"/>
        <v/>
      </c>
      <c r="HQ73" s="217" t="str">
        <f t="shared" si="325"/>
        <v/>
      </c>
      <c r="HR73" s="217" t="str">
        <f t="shared" si="326"/>
        <v/>
      </c>
      <c r="HS73" s="49" t="str">
        <f t="shared" si="262"/>
        <v/>
      </c>
      <c r="HT73" s="123">
        <f t="shared" si="263"/>
        <v>0</v>
      </c>
      <c r="HU73" s="123">
        <f t="shared" si="264"/>
        <v>0</v>
      </c>
      <c r="HV73" s="123">
        <f t="shared" si="265"/>
        <v>0</v>
      </c>
      <c r="HW73" s="215">
        <f>IF(HS73="",0,MAX(HT73:HU73:HV73))</f>
        <v>0</v>
      </c>
      <c r="HX73" s="216" t="str">
        <f t="shared" si="327"/>
        <v/>
      </c>
      <c r="HY73" s="217" t="str">
        <f t="shared" si="328"/>
        <v/>
      </c>
      <c r="HZ73" s="217" t="str">
        <f t="shared" si="329"/>
        <v/>
      </c>
      <c r="IA73" s="49" t="str">
        <f t="shared" si="266"/>
        <v/>
      </c>
      <c r="IB73" s="123">
        <f t="shared" si="267"/>
        <v>0</v>
      </c>
      <c r="IC73" s="123">
        <f t="shared" si="268"/>
        <v>0</v>
      </c>
      <c r="ID73" s="123">
        <f t="shared" si="269"/>
        <v>0</v>
      </c>
      <c r="IE73" s="215">
        <f>IF(IA73="",0,MAX(IB73:IC73:ID73))</f>
        <v>0</v>
      </c>
      <c r="IF73" s="216" t="str">
        <f t="shared" si="330"/>
        <v/>
      </c>
      <c r="IG73" s="217" t="str">
        <f t="shared" si="331"/>
        <v/>
      </c>
      <c r="IH73" s="217" t="str">
        <f t="shared" si="332"/>
        <v/>
      </c>
      <c r="II73" s="49" t="str">
        <f t="shared" si="270"/>
        <v/>
      </c>
      <c r="IJ73" s="123">
        <f t="shared" si="271"/>
        <v>0</v>
      </c>
      <c r="IK73" s="123">
        <f t="shared" si="272"/>
        <v>0</v>
      </c>
      <c r="IL73" s="123">
        <f t="shared" si="273"/>
        <v>0</v>
      </c>
      <c r="IM73" s="215">
        <f>IF(II73="",0,MAX(IJ73:IK73:IL73))</f>
        <v>0</v>
      </c>
      <c r="IN73" s="216" t="str">
        <f t="shared" si="333"/>
        <v/>
      </c>
      <c r="IO73" s="217" t="str">
        <f t="shared" si="334"/>
        <v/>
      </c>
      <c r="IP73" s="217" t="str">
        <f t="shared" si="335"/>
        <v/>
      </c>
      <c r="IQ73" s="49" t="str">
        <f t="shared" si="274"/>
        <v/>
      </c>
      <c r="IR73" s="123">
        <f t="shared" si="275"/>
        <v>0</v>
      </c>
      <c r="IS73" s="123">
        <f t="shared" si="276"/>
        <v>0</v>
      </c>
      <c r="IT73" s="123">
        <f t="shared" si="277"/>
        <v>0</v>
      </c>
      <c r="IU73" s="215">
        <f>IF(IQ73="",0,MAX(IR73:IS73:IT73))</f>
        <v>0</v>
      </c>
    </row>
    <row r="74" spans="48:255" ht="13.3" thickTop="1" thickBot="1" x14ac:dyDescent="0.35">
      <c r="AV74" s="345" t="str">
        <f t="shared" si="345"/>
        <v/>
      </c>
      <c r="BF74" s="345">
        <f t="shared" si="336"/>
        <v>1</v>
      </c>
      <c r="BG74" s="347" t="str">
        <f t="shared" si="337"/>
        <v/>
      </c>
      <c r="BH74" s="347" t="str">
        <f t="shared" si="338"/>
        <v/>
      </c>
      <c r="BI74" s="347" t="str">
        <f t="shared" si="339"/>
        <v/>
      </c>
      <c r="BJ74" s="347" t="str">
        <f t="shared" si="340"/>
        <v/>
      </c>
      <c r="BK74" s="347" t="str">
        <f t="shared" si="341"/>
        <v/>
      </c>
      <c r="BL74" s="347" t="str">
        <f t="shared" si="342"/>
        <v/>
      </c>
    </row>
    <row r="75" spans="48:255" ht="13.3" thickTop="1" thickBot="1" x14ac:dyDescent="0.35">
      <c r="AV75" s="345" t="str">
        <f t="shared" si="345"/>
        <v/>
      </c>
      <c r="BF75" s="345">
        <f t="shared" si="336"/>
        <v>1</v>
      </c>
      <c r="BG75" s="347" t="str">
        <f t="shared" si="337"/>
        <v/>
      </c>
      <c r="BH75" s="347" t="str">
        <f t="shared" si="338"/>
        <v/>
      </c>
      <c r="BI75" s="347" t="str">
        <f t="shared" si="339"/>
        <v/>
      </c>
      <c r="BJ75" s="347" t="str">
        <f t="shared" si="340"/>
        <v/>
      </c>
      <c r="BK75" s="347" t="str">
        <f t="shared" si="341"/>
        <v/>
      </c>
      <c r="BL75" s="347" t="str">
        <f t="shared" si="342"/>
        <v/>
      </c>
    </row>
    <row r="76" spans="48:255" ht="12.9" thickTop="1" x14ac:dyDescent="0.3"/>
  </sheetData>
  <sheetProtection algorithmName="SHA-512" hashValue="UjlLLzBoFKOP+FL1yNsbFtwmeb70E9AZ4SdcAqi8yCvKr8dJiG1NGbEvMNw8i8mWybbzVsNRjb+QL0LigGHscQ==" saltValue="7azAzF1SnkFFLLgodFHhIQ==" spinCount="100000" sheet="1" objects="1" scenarios="1"/>
  <mergeCells count="100">
    <mergeCell ref="AM35:AO35"/>
    <mergeCell ref="AM36:AO36"/>
    <mergeCell ref="AM37:AO37"/>
    <mergeCell ref="AM38:AO38"/>
    <mergeCell ref="AO58:AR58"/>
    <mergeCell ref="AM39:AO39"/>
    <mergeCell ref="AM42:AO42"/>
    <mergeCell ref="E27:G27"/>
    <mergeCell ref="H26:I26"/>
    <mergeCell ref="AJ48:AK48"/>
    <mergeCell ref="AA27:AB27"/>
    <mergeCell ref="AJ37:AK37"/>
    <mergeCell ref="AJ38:AK38"/>
    <mergeCell ref="AJ39:AK39"/>
    <mergeCell ref="AJ35:AK35"/>
    <mergeCell ref="AJ36:AK36"/>
    <mergeCell ref="AJ32:AK32"/>
    <mergeCell ref="AJ33:AK33"/>
    <mergeCell ref="AJ34:AK34"/>
    <mergeCell ref="AD35:AE35"/>
    <mergeCell ref="AD36:AE36"/>
    <mergeCell ref="AD39:AE39"/>
    <mergeCell ref="AD38:AE38"/>
    <mergeCell ref="U51:U56"/>
    <mergeCell ref="AA52:AC52"/>
    <mergeCell ref="AM40:AO40"/>
    <mergeCell ref="AJ40:AK40"/>
    <mergeCell ref="AJ47:AK47"/>
    <mergeCell ref="AJ41:AK41"/>
    <mergeCell ref="AJ42:AK42"/>
    <mergeCell ref="AJ43:AK43"/>
    <mergeCell ref="AJ44:AK44"/>
    <mergeCell ref="AJ45:AK45"/>
    <mergeCell ref="AA51:AC51"/>
    <mergeCell ref="AD40:AE40"/>
    <mergeCell ref="AD41:AE41"/>
    <mergeCell ref="AD42:AE42"/>
    <mergeCell ref="AD43:AE43"/>
    <mergeCell ref="AM41:AO41"/>
    <mergeCell ref="F25:G25"/>
    <mergeCell ref="E26:G26"/>
    <mergeCell ref="AJ24:AK24"/>
    <mergeCell ref="AJ25:AK25"/>
    <mergeCell ref="J26:M26"/>
    <mergeCell ref="AC26:AG26"/>
    <mergeCell ref="AD24:AE24"/>
    <mergeCell ref="H25:I25"/>
    <mergeCell ref="M25:P25"/>
    <mergeCell ref="Z25:AB25"/>
    <mergeCell ref="AH26:AK26"/>
    <mergeCell ref="U26:AB26"/>
    <mergeCell ref="AM32:AO32"/>
    <mergeCell ref="AM33:AO33"/>
    <mergeCell ref="AM34:AO34"/>
    <mergeCell ref="AN2:AR2"/>
    <mergeCell ref="AD2:AL2"/>
    <mergeCell ref="AD25:AE25"/>
    <mergeCell ref="AD31:AE31"/>
    <mergeCell ref="AD30:AE30"/>
    <mergeCell ref="AJ30:AK30"/>
    <mergeCell ref="AJ31:AK31"/>
    <mergeCell ref="AD32:AE32"/>
    <mergeCell ref="AD33:AE33"/>
    <mergeCell ref="AD34:AE34"/>
    <mergeCell ref="AM31:AO31"/>
    <mergeCell ref="W2:AA2"/>
    <mergeCell ref="AJ27:AK27"/>
    <mergeCell ref="AM24:AO24"/>
    <mergeCell ref="AD29:AE29"/>
    <mergeCell ref="AD28:AE28"/>
    <mergeCell ref="AD27:AE27"/>
    <mergeCell ref="AM25:AO25"/>
    <mergeCell ref="AJ29:AK29"/>
    <mergeCell ref="AA28:AB28"/>
    <mergeCell ref="AH19:AI19"/>
    <mergeCell ref="AJ19:AN19"/>
    <mergeCell ref="AA54:AC54"/>
    <mergeCell ref="AD44:AE44"/>
    <mergeCell ref="AD46:AE46"/>
    <mergeCell ref="AM43:AO43"/>
    <mergeCell ref="AM44:AO44"/>
    <mergeCell ref="AM45:AO45"/>
    <mergeCell ref="AM46:AO46"/>
    <mergeCell ref="AJ49:AK49"/>
    <mergeCell ref="AA55:AC55"/>
    <mergeCell ref="AA56:AC56"/>
    <mergeCell ref="AM30:AO30"/>
    <mergeCell ref="AL26:AO26"/>
    <mergeCell ref="AM27:AO27"/>
    <mergeCell ref="AM29:AO29"/>
    <mergeCell ref="AM47:AO47"/>
    <mergeCell ref="AM48:AO48"/>
    <mergeCell ref="AD45:AE45"/>
    <mergeCell ref="AA53:AC53"/>
    <mergeCell ref="AD47:AE47"/>
    <mergeCell ref="AD48:AE48"/>
    <mergeCell ref="AD49:AE49"/>
    <mergeCell ref="AJ46:AK46"/>
    <mergeCell ref="AM49:AO49"/>
    <mergeCell ref="AD37:AE37"/>
  </mergeCells>
  <phoneticPr fontId="0" type="noConversion"/>
  <conditionalFormatting sqref="M5 M10:M14">
    <cfRule type="cellIs" dxfId="401" priority="183" stopIfTrue="1" operator="equal">
      <formula>" Atenção: Seleccione correctamente o Gás a utilizar."</formula>
    </cfRule>
  </conditionalFormatting>
  <conditionalFormatting sqref="AG51:AG56 AA51:AC56">
    <cfRule type="cellIs" dxfId="400" priority="184" stopIfTrue="1" operator="notEqual">
      <formula>""</formula>
    </cfRule>
  </conditionalFormatting>
  <conditionalFormatting sqref="Z51:Z56">
    <cfRule type="cellIs" dxfId="399" priority="185" stopIfTrue="1" operator="notEqual">
      <formula>""</formula>
    </cfRule>
  </conditionalFormatting>
  <conditionalFormatting sqref="W51:W56">
    <cfRule type="cellIs" dxfId="398" priority="186" stopIfTrue="1" operator="notEqual">
      <formula>""</formula>
    </cfRule>
  </conditionalFormatting>
  <conditionalFormatting sqref="U51:U56">
    <cfRule type="cellIs" dxfId="397" priority="187" stopIfTrue="1" operator="notEqual">
      <formula>""</formula>
    </cfRule>
  </conditionalFormatting>
  <conditionalFormatting sqref="AL9:AL13 AB9:AB13">
    <cfRule type="cellIs" dxfId="396" priority="188" stopIfTrue="1" operator="equal">
      <formula>"Q1 ="</formula>
    </cfRule>
    <cfRule type="cellIs" dxfId="395" priority="189" stopIfTrue="1" operator="equal">
      <formula>"Q2 ="</formula>
    </cfRule>
    <cfRule type="cellIs" dxfId="394" priority="4" operator="equal">
      <formula>"Qi ="</formula>
    </cfRule>
  </conditionalFormatting>
  <conditionalFormatting sqref="AN9:AN13 AD9:AE13">
    <cfRule type="cellIs" dxfId="393" priority="190" stopIfTrue="1" operator="equal">
      <formula>"1.6"</formula>
    </cfRule>
    <cfRule type="cellIs" dxfId="392" priority="191" stopIfTrue="1" operator="equal">
      <formula>"1.7"</formula>
    </cfRule>
  </conditionalFormatting>
  <conditionalFormatting sqref="AJ30:AK49 AM30:AO49">
    <cfRule type="cellIs" dxfId="391" priority="192" stopIfTrue="1" operator="equal">
      <formula>"Redimensionar"</formula>
    </cfRule>
    <cfRule type="cellIs" dxfId="390" priority="193" stopIfTrue="1" operator="equal">
      <formula>"Conforme"</formula>
    </cfRule>
  </conditionalFormatting>
  <conditionalFormatting sqref="U8 AH8:AI8">
    <cfRule type="cellIs" dxfId="389" priority="194" stopIfTrue="1" operator="equal">
      <formula>"decrescente de Potência!..."</formula>
    </cfRule>
  </conditionalFormatting>
  <conditionalFormatting sqref="U7">
    <cfRule type="cellIs" dxfId="388" priority="195" stopIfTrue="1" operator="equal">
      <formula>"ATENÇÃO: Listar por ordem"</formula>
    </cfRule>
  </conditionalFormatting>
  <conditionalFormatting sqref="AC30:AC49">
    <cfRule type="cellIs" dxfId="387" priority="196" stopIfTrue="1" operator="equal">
      <formula>$AW$10</formula>
    </cfRule>
  </conditionalFormatting>
  <conditionalFormatting sqref="K30:K49">
    <cfRule type="cellIs" dxfId="386" priority="197" stopIfTrue="1" operator="notBetween">
      <formula>$J30</formula>
      <formula>-$J30</formula>
    </cfRule>
  </conditionalFormatting>
  <conditionalFormatting sqref="J26:M26">
    <cfRule type="cellIs" dxfId="385" priority="198" stopIfTrue="1" operator="equal">
      <formula>"Erro: L não pode ser inferior a h"</formula>
    </cfRule>
  </conditionalFormatting>
  <conditionalFormatting sqref="E30">
    <cfRule type="cellIs" dxfId="384" priority="182" stopIfTrue="1" operator="equal">
      <formula>BK30</formula>
    </cfRule>
  </conditionalFormatting>
  <conditionalFormatting sqref="E31">
    <cfRule type="cellIs" dxfId="383" priority="181" stopIfTrue="1" operator="equal">
      <formula>BK31</formula>
    </cfRule>
  </conditionalFormatting>
  <conditionalFormatting sqref="E32">
    <cfRule type="cellIs" dxfId="382" priority="180" stopIfTrue="1" operator="equal">
      <formula>BK32</formula>
    </cfRule>
  </conditionalFormatting>
  <conditionalFormatting sqref="E33">
    <cfRule type="cellIs" dxfId="381" priority="179" stopIfTrue="1" operator="equal">
      <formula>BK33</formula>
    </cfRule>
  </conditionalFormatting>
  <conditionalFormatting sqref="E34">
    <cfRule type="cellIs" dxfId="380" priority="178" stopIfTrue="1" operator="equal">
      <formula>BK34</formula>
    </cfRule>
  </conditionalFormatting>
  <conditionalFormatting sqref="E35">
    <cfRule type="cellIs" dxfId="379" priority="177" stopIfTrue="1" operator="equal">
      <formula>BK35</formula>
    </cfRule>
  </conditionalFormatting>
  <conditionalFormatting sqref="E36">
    <cfRule type="cellIs" dxfId="378" priority="176" stopIfTrue="1" operator="equal">
      <formula>BK36</formula>
    </cfRule>
  </conditionalFormatting>
  <conditionalFormatting sqref="E37">
    <cfRule type="cellIs" dxfId="377" priority="175" stopIfTrue="1" operator="equal">
      <formula>BK37</formula>
    </cfRule>
  </conditionalFormatting>
  <conditionalFormatting sqref="E38">
    <cfRule type="cellIs" dxfId="376" priority="174" stopIfTrue="1" operator="equal">
      <formula>BK38</formula>
    </cfRule>
  </conditionalFormatting>
  <conditionalFormatting sqref="E39">
    <cfRule type="cellIs" dxfId="375" priority="173" stopIfTrue="1" operator="equal">
      <formula>BK39</formula>
    </cfRule>
  </conditionalFormatting>
  <conditionalFormatting sqref="E40">
    <cfRule type="cellIs" dxfId="374" priority="172" stopIfTrue="1" operator="equal">
      <formula>BK40</formula>
    </cfRule>
  </conditionalFormatting>
  <conditionalFormatting sqref="E41">
    <cfRule type="cellIs" dxfId="373" priority="171" stopIfTrue="1" operator="equal">
      <formula>BK41</formula>
    </cfRule>
  </conditionalFormatting>
  <conditionalFormatting sqref="E42">
    <cfRule type="cellIs" dxfId="372" priority="170" stopIfTrue="1" operator="equal">
      <formula>BK42</formula>
    </cfRule>
  </conditionalFormatting>
  <conditionalFormatting sqref="E43">
    <cfRule type="cellIs" dxfId="371" priority="169" stopIfTrue="1" operator="equal">
      <formula>BK43</formula>
    </cfRule>
  </conditionalFormatting>
  <conditionalFormatting sqref="E44">
    <cfRule type="cellIs" dxfId="370" priority="168" stopIfTrue="1" operator="equal">
      <formula>BK44</formula>
    </cfRule>
  </conditionalFormatting>
  <conditionalFormatting sqref="E45">
    <cfRule type="cellIs" dxfId="369" priority="167" stopIfTrue="1" operator="equal">
      <formula>BK45</formula>
    </cfRule>
  </conditionalFormatting>
  <conditionalFormatting sqref="E46">
    <cfRule type="cellIs" dxfId="368" priority="166" stopIfTrue="1" operator="equal">
      <formula>BK46</formula>
    </cfRule>
  </conditionalFormatting>
  <conditionalFormatting sqref="E47">
    <cfRule type="cellIs" dxfId="367" priority="165" stopIfTrue="1" operator="equal">
      <formula>BK47</formula>
    </cfRule>
  </conditionalFormatting>
  <conditionalFormatting sqref="E48">
    <cfRule type="cellIs" dxfId="366" priority="164" stopIfTrue="1" operator="equal">
      <formula>BK48</formula>
    </cfRule>
  </conditionalFormatting>
  <conditionalFormatting sqref="E49">
    <cfRule type="cellIs" dxfId="365" priority="163" stopIfTrue="1" operator="equal">
      <formula>BK49</formula>
    </cfRule>
  </conditionalFormatting>
  <conditionalFormatting sqref="W30">
    <cfRule type="cellIs" dxfId="364" priority="162" stopIfTrue="1" operator="lessThan">
      <formula>BJ30</formula>
    </cfRule>
  </conditionalFormatting>
  <conditionalFormatting sqref="W31">
    <cfRule type="cellIs" dxfId="363" priority="161" stopIfTrue="1" operator="lessThan">
      <formula>BJ31</formula>
    </cfRule>
  </conditionalFormatting>
  <conditionalFormatting sqref="W32">
    <cfRule type="cellIs" dxfId="362" priority="160" stopIfTrue="1" operator="lessThan">
      <formula>BJ32</formula>
    </cfRule>
  </conditionalFormatting>
  <conditionalFormatting sqref="W33">
    <cfRule type="cellIs" dxfId="361" priority="159" stopIfTrue="1" operator="lessThan">
      <formula>BJ33</formula>
    </cfRule>
  </conditionalFormatting>
  <conditionalFormatting sqref="W34">
    <cfRule type="cellIs" dxfId="360" priority="158" stopIfTrue="1" operator="lessThan">
      <formula>BJ34</formula>
    </cfRule>
  </conditionalFormatting>
  <conditionalFormatting sqref="W35">
    <cfRule type="cellIs" dxfId="359" priority="157" stopIfTrue="1" operator="lessThan">
      <formula>BJ35</formula>
    </cfRule>
  </conditionalFormatting>
  <conditionalFormatting sqref="W36">
    <cfRule type="cellIs" dxfId="358" priority="156" stopIfTrue="1" operator="lessThan">
      <formula>BJ36</formula>
    </cfRule>
  </conditionalFormatting>
  <conditionalFormatting sqref="W37">
    <cfRule type="cellIs" dxfId="357" priority="155" stopIfTrue="1" operator="lessThan">
      <formula>BJ37</formula>
    </cfRule>
  </conditionalFormatting>
  <conditionalFormatting sqref="W38">
    <cfRule type="cellIs" dxfId="356" priority="154" stopIfTrue="1" operator="lessThan">
      <formula>BJ38</formula>
    </cfRule>
  </conditionalFormatting>
  <conditionalFormatting sqref="W39">
    <cfRule type="cellIs" dxfId="355" priority="153" stopIfTrue="1" operator="lessThan">
      <formula>BJ39</formula>
    </cfRule>
  </conditionalFormatting>
  <conditionalFormatting sqref="W40">
    <cfRule type="cellIs" dxfId="354" priority="152" stopIfTrue="1" operator="lessThan">
      <formula>BJ40</formula>
    </cfRule>
  </conditionalFormatting>
  <conditionalFormatting sqref="W41">
    <cfRule type="cellIs" dxfId="353" priority="151" stopIfTrue="1" operator="lessThan">
      <formula>BJ41</formula>
    </cfRule>
  </conditionalFormatting>
  <conditionalFormatting sqref="W42">
    <cfRule type="cellIs" dxfId="352" priority="150" stopIfTrue="1" operator="lessThan">
      <formula>BJ42</formula>
    </cfRule>
  </conditionalFormatting>
  <conditionalFormatting sqref="W43">
    <cfRule type="cellIs" dxfId="351" priority="149" stopIfTrue="1" operator="lessThan">
      <formula>BJ43</formula>
    </cfRule>
  </conditionalFormatting>
  <conditionalFormatting sqref="W44">
    <cfRule type="cellIs" dxfId="350" priority="148" stopIfTrue="1" operator="lessThan">
      <formula>BJ44</formula>
    </cfRule>
  </conditionalFormatting>
  <conditionalFormatting sqref="W45">
    <cfRule type="cellIs" dxfId="349" priority="147" stopIfTrue="1" operator="lessThan">
      <formula>BJ45</formula>
    </cfRule>
  </conditionalFormatting>
  <conditionalFormatting sqref="W46">
    <cfRule type="cellIs" dxfId="348" priority="146" stopIfTrue="1" operator="lessThan">
      <formula>BJ46</formula>
    </cfRule>
  </conditionalFormatting>
  <conditionalFormatting sqref="W47">
    <cfRule type="cellIs" dxfId="347" priority="145" stopIfTrue="1" operator="lessThan">
      <formula>BJ47</formula>
    </cfRule>
  </conditionalFormatting>
  <conditionalFormatting sqref="W48">
    <cfRule type="cellIs" dxfId="346" priority="144" stopIfTrue="1" operator="lessThan">
      <formula>BJ48</formula>
    </cfRule>
  </conditionalFormatting>
  <conditionalFormatting sqref="W49">
    <cfRule type="cellIs" dxfId="345" priority="143" stopIfTrue="1" operator="lessThan">
      <formula>BJ49</formula>
    </cfRule>
  </conditionalFormatting>
  <conditionalFormatting sqref="E5:P5">
    <cfRule type="expression" dxfId="344" priority="142">
      <formula>AND(CELL("lin")=ROW(),CELL("col")&gt;=5,CELL("col")&lt;=18)</formula>
    </cfRule>
  </conditionalFormatting>
  <conditionalFormatting sqref="D6:J19 L6:P19">
    <cfRule type="expression" dxfId="343" priority="141">
      <formula>AND(CELL("lin")=ROW(),CELL("col")&gt;=4,CELL("col")&lt;=18)</formula>
    </cfRule>
  </conditionalFormatting>
  <conditionalFormatting sqref="U17:AC19">
    <cfRule type="expression" dxfId="342" priority="140">
      <formula>AND(CELL("lin")=ROW(),CELL("col")&gt;=20,CELL("col")&lt;=29)</formula>
    </cfRule>
  </conditionalFormatting>
  <conditionalFormatting sqref="S9:AC13">
    <cfRule type="expression" dxfId="341" priority="139">
      <formula>AND(CELL("lin")=ROW(),CELL("col")=19)</formula>
    </cfRule>
  </conditionalFormatting>
  <conditionalFormatting sqref="AG9:AM13">
    <cfRule type="expression" dxfId="340" priority="138">
      <formula>AND(CELL("lin")=ROW(),CELL("col")=33)</formula>
    </cfRule>
  </conditionalFormatting>
  <conditionalFormatting sqref="E26:S29 U27:AM29 AQ26:AQ29 U26 AC26:AM26">
    <cfRule type="expression" dxfId="339" priority="137">
      <formula>AND(CELL("col")=COLUMN(),CELL("lin")&gt;=30,CELL("lin")&lt;=49)</formula>
    </cfRule>
  </conditionalFormatting>
  <conditionalFormatting sqref="E30:E49 M30:S49 W30:AP49">
    <cfRule type="expression" dxfId="338" priority="136">
      <formula>AND(CELL("lin")=ROW(),CELL("col")&gt;=5,CELL("col")&lt;=43)</formula>
    </cfRule>
  </conditionalFormatting>
  <conditionalFormatting sqref="F30:K49">
    <cfRule type="expression" dxfId="337" priority="135">
      <formula>AND(CELL("lin")=ROW(),CELL("col")&gt;=5,CELL("col")&lt;=43)</formula>
    </cfRule>
  </conditionalFormatting>
  <conditionalFormatting sqref="AQ30:AQ49">
    <cfRule type="expression" dxfId="336" priority="134">
      <formula>AND(CELL("lin")=ROW(),CELL("col")&gt;=5,CELL("col")&lt;=43)</formula>
    </cfRule>
  </conditionalFormatting>
  <conditionalFormatting sqref="L30:L49 U30:U49">
    <cfRule type="expression" dxfId="335" priority="133">
      <formula>AND(CELL("lin")=ROW(),CELL("col")&gt;=5,CELL("col")&lt;=43)</formula>
    </cfRule>
  </conditionalFormatting>
  <conditionalFormatting sqref="F30">
    <cfRule type="expression" dxfId="334" priority="132">
      <formula>AND(F30="",OR($G$30&lt;&gt;"",$H$30&lt;&gt;"",$I$30&lt;&gt;"",$J$30&lt;&gt;""))</formula>
    </cfRule>
  </conditionalFormatting>
  <conditionalFormatting sqref="F31">
    <cfRule type="expression" dxfId="333" priority="131">
      <formula>AND(F31="",OR($G$31&lt;&gt;"",$H$31&lt;&gt;"",$I$31&lt;&gt;"",$J$31&lt;&gt;""))</formula>
    </cfRule>
  </conditionalFormatting>
  <conditionalFormatting sqref="F32">
    <cfRule type="expression" dxfId="332" priority="130">
      <formula>AND(F32="",OR($G$32&lt;&gt;"",$H$32&lt;&gt;"",$I$32&lt;&gt;"",$J$32&lt;&gt;""))</formula>
    </cfRule>
  </conditionalFormatting>
  <conditionalFormatting sqref="F33">
    <cfRule type="expression" dxfId="331" priority="129">
      <formula>AND(F33="",OR($G$33&lt;&gt;"",$H$33&lt;&gt;"",$I$33&lt;&gt;"",$J$33&lt;&gt;""))</formula>
    </cfRule>
  </conditionalFormatting>
  <conditionalFormatting sqref="F34">
    <cfRule type="expression" dxfId="330" priority="128">
      <formula>AND(F34="",OR($G$34&lt;&gt;"",$H$34&lt;&gt;"",$I$34&lt;&gt;"",$J$34&lt;&gt;""))</formula>
    </cfRule>
  </conditionalFormatting>
  <conditionalFormatting sqref="F35">
    <cfRule type="expression" dxfId="329" priority="127">
      <formula>AND(F35="",OR($G$35&lt;&gt;"",$H$35&lt;&gt;"",$I$35&lt;&gt;"",$J$35&lt;&gt;""))</formula>
    </cfRule>
  </conditionalFormatting>
  <conditionalFormatting sqref="F36">
    <cfRule type="expression" dxfId="328" priority="126">
      <formula>AND(F36="",OR($G$36&lt;&gt;"",$H$36&lt;&gt;"",$I$36&lt;&gt;"",$J$36&lt;&gt;""))</formula>
    </cfRule>
  </conditionalFormatting>
  <conditionalFormatting sqref="F37">
    <cfRule type="expression" dxfId="327" priority="125">
      <formula>AND(F37="",OR($G$37&lt;&gt;"",$H$37&lt;&gt;"",$I$37&lt;&gt;"",$J$37&lt;&gt;""))</formula>
    </cfRule>
  </conditionalFormatting>
  <conditionalFormatting sqref="F38">
    <cfRule type="expression" dxfId="326" priority="124">
      <formula>AND(F38="",OR($G$38&lt;&gt;"",$H$38&lt;&gt;"",$I$38&lt;&gt;"",$J$38&lt;&gt;""))</formula>
    </cfRule>
  </conditionalFormatting>
  <conditionalFormatting sqref="F39">
    <cfRule type="expression" dxfId="325" priority="123">
      <formula>AND(F39="",OR($G$39&lt;&gt;"",$H$39&lt;&gt;"",$I$39&lt;&gt;"",$J$39&lt;&gt;""))</formula>
    </cfRule>
  </conditionalFormatting>
  <conditionalFormatting sqref="F40">
    <cfRule type="expression" dxfId="324" priority="122">
      <formula>AND(F40="",OR($G$40&lt;&gt;"",$H$40&lt;&gt;"",$I$40&lt;&gt;"",$J$40&lt;&gt;""))</formula>
    </cfRule>
  </conditionalFormatting>
  <conditionalFormatting sqref="F41">
    <cfRule type="expression" dxfId="323" priority="121">
      <formula>AND(F41="",OR($G$41&lt;&gt;"",$H$41&lt;&gt;"",$I$41&lt;&gt;"",$J$41&lt;&gt;""))</formula>
    </cfRule>
  </conditionalFormatting>
  <conditionalFormatting sqref="F42">
    <cfRule type="expression" dxfId="322" priority="120">
      <formula>AND(F42="",OR($G$42&lt;&gt;"",$H$42&lt;&gt;"",$I$42&lt;&gt;"",$J$42&lt;&gt;""))</formula>
    </cfRule>
  </conditionalFormatting>
  <conditionalFormatting sqref="F43">
    <cfRule type="expression" dxfId="321" priority="119">
      <formula>AND(F43="",OR($G$43&lt;&gt;"",$H$43&lt;&gt;"",$I$43&lt;&gt;"",$J$43&lt;&gt;""))</formula>
    </cfRule>
  </conditionalFormatting>
  <conditionalFormatting sqref="F44">
    <cfRule type="expression" dxfId="320" priority="118">
      <formula>AND(F44="",OR($G$44&lt;&gt;"",$H$44&lt;&gt;"",$I$44&lt;&gt;"",$J$44&lt;&gt;""))</formula>
    </cfRule>
  </conditionalFormatting>
  <conditionalFormatting sqref="F45">
    <cfRule type="expression" dxfId="319" priority="117">
      <formula>AND(F45="",OR($G$45&lt;&gt;"",$H$45&lt;&gt;"",$I$45&lt;&gt;"",$J$45&lt;&gt;""))</formula>
    </cfRule>
  </conditionalFormatting>
  <conditionalFormatting sqref="F46">
    <cfRule type="expression" dxfId="318" priority="116">
      <formula>AND(F46="",OR($G$46&lt;&gt;"",$H$46&lt;&gt;"",$I$46&lt;&gt;"",$J$46&lt;&gt;""))</formula>
    </cfRule>
  </conditionalFormatting>
  <conditionalFormatting sqref="F47">
    <cfRule type="expression" dxfId="317" priority="115">
      <formula>AND(F47="",OR($G$47&lt;&gt;"",$H$47&lt;&gt;"",$I$47&lt;&gt;"",$J$47&lt;&gt;""))</formula>
    </cfRule>
  </conditionalFormatting>
  <conditionalFormatting sqref="F48">
    <cfRule type="expression" dxfId="316" priority="114">
      <formula>AND(F48="",OR($G$48&lt;&gt;"",$H$48&lt;&gt;"",$I$48&lt;&gt;"",$J$48&lt;&gt;""))</formula>
    </cfRule>
  </conditionalFormatting>
  <conditionalFormatting sqref="F49">
    <cfRule type="expression" dxfId="315" priority="113">
      <formula>AND(F49="",OR($G$49&lt;&gt;"",$H$49&lt;&gt;"",$I$49&lt;&gt;"",$J$49&lt;&gt;""))</formula>
    </cfRule>
  </conditionalFormatting>
  <conditionalFormatting sqref="G30">
    <cfRule type="expression" dxfId="314" priority="112">
      <formula>AND($G$30="",$F$30&lt;&gt;"",$H$30&lt;&gt;"")</formula>
    </cfRule>
  </conditionalFormatting>
  <conditionalFormatting sqref="G31">
    <cfRule type="expression" dxfId="313" priority="111">
      <formula>AND($G$31="",$F$31&lt;&gt;"",$H$31&lt;&gt;"")</formula>
    </cfRule>
  </conditionalFormatting>
  <conditionalFormatting sqref="G32">
    <cfRule type="expression" dxfId="312" priority="110">
      <formula>AND($G$32="",$F$32&lt;&gt;"",$H$32&lt;&gt;"")</formula>
    </cfRule>
  </conditionalFormatting>
  <conditionalFormatting sqref="G33">
    <cfRule type="expression" dxfId="311" priority="109">
      <formula>AND($G$33="",$F$33&lt;&gt;"",$H$33&lt;&gt;"")</formula>
    </cfRule>
  </conditionalFormatting>
  <conditionalFormatting sqref="G34">
    <cfRule type="expression" dxfId="310" priority="108">
      <formula>AND($G$34="",$F$34&lt;&gt;"",$H$34&lt;&gt;"")</formula>
    </cfRule>
  </conditionalFormatting>
  <conditionalFormatting sqref="G35">
    <cfRule type="expression" dxfId="309" priority="107">
      <formula>AND($G$35="",$F$35&lt;&gt;"",$H$35&lt;&gt;"")</formula>
    </cfRule>
  </conditionalFormatting>
  <conditionalFormatting sqref="G36">
    <cfRule type="expression" dxfId="308" priority="106">
      <formula>AND($G$36="",$F$36&lt;&gt;"",$H$36&lt;&gt;"")</formula>
    </cfRule>
  </conditionalFormatting>
  <conditionalFormatting sqref="G37">
    <cfRule type="expression" dxfId="307" priority="105">
      <formula>AND($G$37="",$F$37&lt;&gt;"",$H$37&lt;&gt;"")</formula>
    </cfRule>
  </conditionalFormatting>
  <conditionalFormatting sqref="G38">
    <cfRule type="expression" dxfId="306" priority="104">
      <formula>AND($G$38="",$F$38&lt;&gt;"",$H$38&lt;&gt;"")</formula>
    </cfRule>
  </conditionalFormatting>
  <conditionalFormatting sqref="G39">
    <cfRule type="expression" dxfId="305" priority="103">
      <formula>AND($G$39="",$F$39&lt;&gt;"",$H$39&lt;&gt;"")</formula>
    </cfRule>
  </conditionalFormatting>
  <conditionalFormatting sqref="G40">
    <cfRule type="expression" dxfId="304" priority="102">
      <formula>AND($G$40="",$F$40&lt;&gt;"",$H$40&lt;&gt;"")</formula>
    </cfRule>
  </conditionalFormatting>
  <conditionalFormatting sqref="G41">
    <cfRule type="expression" dxfId="303" priority="101">
      <formula>AND($G$41="",$F$41&lt;&gt;"",$H$41&lt;&gt;"")</formula>
    </cfRule>
  </conditionalFormatting>
  <conditionalFormatting sqref="G42">
    <cfRule type="expression" dxfId="302" priority="100">
      <formula>AND($G$42="",$F$42&lt;&gt;"",$H$42&lt;&gt;"")</formula>
    </cfRule>
  </conditionalFormatting>
  <conditionalFormatting sqref="G43">
    <cfRule type="expression" dxfId="301" priority="99">
      <formula>AND($G$43="",$F$43&lt;&gt;"",$H$43&lt;&gt;"")</formula>
    </cfRule>
  </conditionalFormatting>
  <conditionalFormatting sqref="G44">
    <cfRule type="expression" dxfId="300" priority="98">
      <formula>AND($G$44="",$F$44&lt;&gt;"",$H$44&lt;&gt;"")</formula>
    </cfRule>
  </conditionalFormatting>
  <conditionalFormatting sqref="G45">
    <cfRule type="expression" dxfId="299" priority="97">
      <formula>AND($G$45="",$F$45&lt;&gt;"",$H$45&lt;&gt;"")</formula>
    </cfRule>
  </conditionalFormatting>
  <conditionalFormatting sqref="G46">
    <cfRule type="expression" dxfId="298" priority="96">
      <formula>AND($G$46="",$F$46&lt;&gt;"",$H$46&lt;&gt;"")</formula>
    </cfRule>
  </conditionalFormatting>
  <conditionalFormatting sqref="G47">
    <cfRule type="expression" dxfId="297" priority="95">
      <formula>AND($G$47="",$F$47&lt;&gt;"",$H$47&lt;&gt;"")</formula>
    </cfRule>
  </conditionalFormatting>
  <conditionalFormatting sqref="G48">
    <cfRule type="expression" dxfId="296" priority="94">
      <formula>AND($G$48="",$F$48&lt;&gt;"",$H$48&lt;&gt;"")</formula>
    </cfRule>
  </conditionalFormatting>
  <conditionalFormatting sqref="G49">
    <cfRule type="expression" dxfId="295" priority="93">
      <formula>AND($G$49="",$F$49&lt;&gt;"",$H$49&lt;&gt;"")</formula>
    </cfRule>
  </conditionalFormatting>
  <conditionalFormatting sqref="J30">
    <cfRule type="expression" dxfId="294" priority="92">
      <formula>AND(J30&lt;&gt;"",OR($F$30="",$G$30=""))</formula>
    </cfRule>
  </conditionalFormatting>
  <conditionalFormatting sqref="J31">
    <cfRule type="expression" dxfId="293" priority="91">
      <formula>AND(J31&lt;&gt;"",OR($F$31="",$G$31=""))</formula>
    </cfRule>
  </conditionalFormatting>
  <conditionalFormatting sqref="J32">
    <cfRule type="expression" dxfId="292" priority="90">
      <formula>AND(J32&lt;&gt;"",OR($F$32="",$G$32=""))</formula>
    </cfRule>
  </conditionalFormatting>
  <conditionalFormatting sqref="J33">
    <cfRule type="expression" dxfId="291" priority="89">
      <formula>AND(J33&lt;&gt;"",OR($F$33="",$G$33=""))</formula>
    </cfRule>
  </conditionalFormatting>
  <conditionalFormatting sqref="J34">
    <cfRule type="expression" dxfId="290" priority="88">
      <formula>AND(J34&lt;&gt;"",OR($F$34="",$G$34=""))</formula>
    </cfRule>
  </conditionalFormatting>
  <conditionalFormatting sqref="J35">
    <cfRule type="expression" dxfId="289" priority="87">
      <formula>AND(J35&lt;&gt;"",OR($F$35="",$G$35=""))</formula>
    </cfRule>
  </conditionalFormatting>
  <conditionalFormatting sqref="J36">
    <cfRule type="expression" dxfId="288" priority="86">
      <formula>AND(J36&lt;&gt;"",OR($F$36="",$G$36=""))</formula>
    </cfRule>
  </conditionalFormatting>
  <conditionalFormatting sqref="J37">
    <cfRule type="expression" dxfId="287" priority="85">
      <formula>AND(J37&lt;&gt;"",OR($F$37="",$G$37=""))</formula>
    </cfRule>
  </conditionalFormatting>
  <conditionalFormatting sqref="J38">
    <cfRule type="expression" dxfId="286" priority="84">
      <formula>AND(J38&lt;&gt;"",OR($F$38="",$G$38=""))</formula>
    </cfRule>
  </conditionalFormatting>
  <conditionalFormatting sqref="J39">
    <cfRule type="expression" dxfId="285" priority="83">
      <formula>AND(J39&lt;&gt;"",OR($F$39="",$G$39=""))</formula>
    </cfRule>
  </conditionalFormatting>
  <conditionalFormatting sqref="J40">
    <cfRule type="expression" dxfId="284" priority="82">
      <formula>AND(J40&lt;&gt;"",OR($F$40="",$G$40=""))</formula>
    </cfRule>
  </conditionalFormatting>
  <conditionalFormatting sqref="J41">
    <cfRule type="expression" dxfId="283" priority="81">
      <formula>AND(J41&lt;&gt;"",OR($F$41="",$G$41=""))</formula>
    </cfRule>
  </conditionalFormatting>
  <conditionalFormatting sqref="J42">
    <cfRule type="expression" dxfId="282" priority="80">
      <formula>AND(J42&lt;&gt;"",OR($F$42="",$G$42=""))</formula>
    </cfRule>
  </conditionalFormatting>
  <conditionalFormatting sqref="J43">
    <cfRule type="expression" dxfId="281" priority="79">
      <formula>AND(J43&lt;&gt;"",OR($F$43="",$G$43=""))</formula>
    </cfRule>
  </conditionalFormatting>
  <conditionalFormatting sqref="J44">
    <cfRule type="expression" dxfId="280" priority="78">
      <formula>AND(J44&lt;&gt;"",OR($F$44="",$G$44=""))</formula>
    </cfRule>
  </conditionalFormatting>
  <conditionalFormatting sqref="J45">
    <cfRule type="expression" dxfId="279" priority="77">
      <formula>AND(J45&lt;&gt;"",OR($F$45="",$G$45=""))</formula>
    </cfRule>
  </conditionalFormatting>
  <conditionalFormatting sqref="J46">
    <cfRule type="expression" dxfId="278" priority="76">
      <formula>AND(J46&lt;&gt;"",OR($F$46="",$G$46=""))</formula>
    </cfRule>
  </conditionalFormatting>
  <conditionalFormatting sqref="J47">
    <cfRule type="expression" dxfId="277" priority="75">
      <formula>AND(J47&lt;&gt;"",OR($F$47="",$G$47=""))</formula>
    </cfRule>
  </conditionalFormatting>
  <conditionalFormatting sqref="J48">
    <cfRule type="expression" dxfId="276" priority="74">
      <formula>AND(J48&lt;&gt;"",OR($F$48="",$G$48=""))</formula>
    </cfRule>
  </conditionalFormatting>
  <conditionalFormatting sqref="J49">
    <cfRule type="expression" dxfId="275" priority="73">
      <formula>AND(J49&lt;&gt;"",OR($F$49="",$G$49=""))</formula>
    </cfRule>
  </conditionalFormatting>
  <conditionalFormatting sqref="AH19:AI19">
    <cfRule type="cellIs" dxfId="274" priority="72" operator="notEqual">
      <formula>""</formula>
    </cfRule>
  </conditionalFormatting>
  <conditionalFormatting sqref="H30">
    <cfRule type="expression" dxfId="273" priority="71">
      <formula>AND($H$30="",$I$30="",$J$30&lt;&gt;"")</formula>
    </cfRule>
  </conditionalFormatting>
  <conditionalFormatting sqref="I30">
    <cfRule type="expression" dxfId="272" priority="70">
      <formula>AND($H$30="",$I$30="",$J$30&lt;&gt;"")</formula>
    </cfRule>
  </conditionalFormatting>
  <conditionalFormatting sqref="H31">
    <cfRule type="expression" dxfId="271" priority="69">
      <formula>AND($H$31="",$I$31="",$J$31&lt;&gt;"")</formula>
    </cfRule>
  </conditionalFormatting>
  <conditionalFormatting sqref="I31">
    <cfRule type="expression" dxfId="270" priority="68">
      <formula>AND($H$31="",$I$31="",$J$31&lt;&gt;"")</formula>
    </cfRule>
  </conditionalFormatting>
  <conditionalFormatting sqref="H32">
    <cfRule type="expression" dxfId="269" priority="67">
      <formula>AND($H$32="",$I$32="",$J$32&lt;&gt;"")</formula>
    </cfRule>
  </conditionalFormatting>
  <conditionalFormatting sqref="I32">
    <cfRule type="expression" dxfId="268" priority="66">
      <formula>AND($H$32="",$I$32="",$J$32&lt;&gt;"")</formula>
    </cfRule>
  </conditionalFormatting>
  <conditionalFormatting sqref="H33">
    <cfRule type="expression" dxfId="267" priority="65">
      <formula>AND($H$33="",$I$33="",$J$33&lt;&gt;"")</formula>
    </cfRule>
  </conditionalFormatting>
  <conditionalFormatting sqref="I33">
    <cfRule type="expression" dxfId="266" priority="64">
      <formula>AND($H$33="",$I$33="",$J$33&lt;&gt;"")</formula>
    </cfRule>
  </conditionalFormatting>
  <conditionalFormatting sqref="H34">
    <cfRule type="expression" dxfId="265" priority="63">
      <formula>AND($H$34="",$I$34="",$J$34&lt;&gt;"")</formula>
    </cfRule>
  </conditionalFormatting>
  <conditionalFormatting sqref="I34">
    <cfRule type="expression" dxfId="264" priority="62">
      <formula>AND($H$34="",$I$34="",$J$34&lt;&gt;"")</formula>
    </cfRule>
  </conditionalFormatting>
  <conditionalFormatting sqref="H35">
    <cfRule type="expression" dxfId="263" priority="61">
      <formula>AND($H$35="",$I$35="",$J$35&lt;&gt;"")</formula>
    </cfRule>
  </conditionalFormatting>
  <conditionalFormatting sqref="I35">
    <cfRule type="expression" dxfId="262" priority="60">
      <formula>AND($H$35="",$I$35="",$J$35&lt;&gt;"")</formula>
    </cfRule>
  </conditionalFormatting>
  <conditionalFormatting sqref="H36">
    <cfRule type="expression" dxfId="261" priority="59">
      <formula>AND($H$36="",$I$36="",$J$36&lt;&gt;"")</formula>
    </cfRule>
  </conditionalFormatting>
  <conditionalFormatting sqref="I36">
    <cfRule type="expression" dxfId="260" priority="58">
      <formula>AND($H$36="",$I$36="",$J$36&lt;&gt;"")</formula>
    </cfRule>
  </conditionalFormatting>
  <conditionalFormatting sqref="H37">
    <cfRule type="expression" dxfId="259" priority="57">
      <formula>AND($H$37="",$I$37="",$J$37&lt;&gt;"")</formula>
    </cfRule>
  </conditionalFormatting>
  <conditionalFormatting sqref="I37">
    <cfRule type="expression" dxfId="258" priority="56">
      <formula>AND($H$37="",$I$37="",$J$37&lt;&gt;"")</formula>
    </cfRule>
  </conditionalFormatting>
  <conditionalFormatting sqref="H38">
    <cfRule type="expression" dxfId="257" priority="55">
      <formula>AND($H$38="",$I$38="",$J$38&lt;&gt;"")</formula>
    </cfRule>
  </conditionalFormatting>
  <conditionalFormatting sqref="I38">
    <cfRule type="expression" dxfId="256" priority="54">
      <formula>AND($H$38="",$I$38="",$J$38&lt;&gt;"")</formula>
    </cfRule>
  </conditionalFormatting>
  <conditionalFormatting sqref="H39">
    <cfRule type="expression" dxfId="255" priority="53">
      <formula>AND($H$39="",$I$39="",$J$39&lt;&gt;"")</formula>
    </cfRule>
  </conditionalFormatting>
  <conditionalFormatting sqref="I39">
    <cfRule type="expression" dxfId="254" priority="52">
      <formula>AND($H$39="",$I$39="",$J$39&lt;&gt;"")</formula>
    </cfRule>
  </conditionalFormatting>
  <conditionalFormatting sqref="H40">
    <cfRule type="expression" dxfId="253" priority="51">
      <formula>AND($H$40="",$I$40="",$J$40&lt;&gt;"")</formula>
    </cfRule>
  </conditionalFormatting>
  <conditionalFormatting sqref="I40">
    <cfRule type="expression" dxfId="252" priority="50">
      <formula>AND($H$40="",$I$40="",$J$40&lt;&gt;"")</formula>
    </cfRule>
  </conditionalFormatting>
  <conditionalFormatting sqref="H41">
    <cfRule type="expression" dxfId="251" priority="49">
      <formula>AND($H$41="",$I$41="",$J$41&lt;&gt;"")</formula>
    </cfRule>
  </conditionalFormatting>
  <conditionalFormatting sqref="I41">
    <cfRule type="expression" dxfId="250" priority="48">
      <formula>AND($H$41="",$I$41="",$J$41&lt;&gt;"")</formula>
    </cfRule>
  </conditionalFormatting>
  <conditionalFormatting sqref="H42">
    <cfRule type="expression" dxfId="249" priority="47">
      <formula>AND($H$42="",$I$42="",$J$42&lt;&gt;"")</formula>
    </cfRule>
  </conditionalFormatting>
  <conditionalFormatting sqref="I42">
    <cfRule type="expression" dxfId="248" priority="46">
      <formula>AND($H$42="",$I$42="",$J$42&lt;&gt;"")</formula>
    </cfRule>
  </conditionalFormatting>
  <conditionalFormatting sqref="H43">
    <cfRule type="expression" dxfId="247" priority="45">
      <formula>AND($H$43="",$I$43="",$J$43&lt;&gt;"")</formula>
    </cfRule>
  </conditionalFormatting>
  <conditionalFormatting sqref="I43">
    <cfRule type="expression" dxfId="246" priority="44">
      <formula>AND($H$43="",$I$43="",$J$43&lt;&gt;"")</formula>
    </cfRule>
  </conditionalFormatting>
  <conditionalFormatting sqref="H44">
    <cfRule type="expression" dxfId="245" priority="43">
      <formula>AND($H$44="",$I$44="",$J$44&lt;&gt;"")</formula>
    </cfRule>
  </conditionalFormatting>
  <conditionalFormatting sqref="I44">
    <cfRule type="expression" dxfId="244" priority="42">
      <formula>AND($H$44="",$I$44="",$J$44&lt;&gt;"")</formula>
    </cfRule>
  </conditionalFormatting>
  <conditionalFormatting sqref="H45">
    <cfRule type="expression" dxfId="243" priority="41">
      <formula>AND($H$45="",$I$45="",$J$45&lt;&gt;"")</formula>
    </cfRule>
  </conditionalFormatting>
  <conditionalFormatting sqref="I45">
    <cfRule type="expression" dxfId="242" priority="40">
      <formula>AND($H$45="",$I$45="",$J$45&lt;&gt;"")</formula>
    </cfRule>
  </conditionalFormatting>
  <conditionalFormatting sqref="H46">
    <cfRule type="expression" dxfId="241" priority="39">
      <formula>AND($H$46="",$I$46="",$J$46&lt;&gt;"")</formula>
    </cfRule>
  </conditionalFormatting>
  <conditionalFormatting sqref="I46">
    <cfRule type="expression" dxfId="240" priority="38">
      <formula>AND($H$46="",$I$46="",$J$46&lt;&gt;"")</formula>
    </cfRule>
  </conditionalFormatting>
  <conditionalFormatting sqref="H47">
    <cfRule type="expression" dxfId="239" priority="37">
      <formula>AND($H$47="",$I$47="",$J$47&lt;&gt;"")</formula>
    </cfRule>
  </conditionalFormatting>
  <conditionalFormatting sqref="I47">
    <cfRule type="expression" dxfId="238" priority="36">
      <formula>AND($H$47="",$I$47="",$J$47&lt;&gt;"")</formula>
    </cfRule>
  </conditionalFormatting>
  <conditionalFormatting sqref="H48">
    <cfRule type="expression" dxfId="237" priority="35">
      <formula>AND($H$48="",$I$48="",$J$48&lt;&gt;"")</formula>
    </cfRule>
  </conditionalFormatting>
  <conditionalFormatting sqref="I48">
    <cfRule type="expression" dxfId="236" priority="34">
      <formula>AND($H$48="",$I$48="",$J$48&lt;&gt;"")</formula>
    </cfRule>
  </conditionalFormatting>
  <conditionalFormatting sqref="H49">
    <cfRule type="expression" dxfId="235" priority="33">
      <formula>AND($H$49="",$I$49="",$J$49&lt;&gt;"")</formula>
    </cfRule>
  </conditionalFormatting>
  <conditionalFormatting sqref="I49">
    <cfRule type="expression" dxfId="234" priority="32">
      <formula>AND($H$49="",$I$49="",$J$49&lt;&gt;"")</formula>
    </cfRule>
  </conditionalFormatting>
  <conditionalFormatting sqref="AJ19:AN19">
    <cfRule type="cellIs" dxfId="233" priority="31" operator="equal">
      <formula>"Verificar Não Conformidades"</formula>
    </cfRule>
    <cfRule type="cellIs" dxfId="232" priority="30" operator="equal">
      <formula>"Dimensionamento Conforme"</formula>
    </cfRule>
    <cfRule type="cellIs" dxfId="231" priority="29" operator="equal">
      <formula>"Introdução de dados em curso"</formula>
    </cfRule>
  </conditionalFormatting>
  <conditionalFormatting sqref="AF30">
    <cfRule type="cellIs" dxfId="230" priority="28" operator="equal">
      <formula>MIN($AF$30:$AF$49)</formula>
    </cfRule>
  </conditionalFormatting>
  <conditionalFormatting sqref="AF36">
    <cfRule type="cellIs" dxfId="229" priority="27" operator="equal">
      <formula>MIN($AF$30:$AF$49)</formula>
    </cfRule>
  </conditionalFormatting>
  <conditionalFormatting sqref="AF34">
    <cfRule type="cellIs" dxfId="228" priority="26" operator="equal">
      <formula>MIN($AF$30:$AF$49)</formula>
    </cfRule>
  </conditionalFormatting>
  <conditionalFormatting sqref="AF35">
    <cfRule type="cellIs" dxfId="227" priority="25" operator="equal">
      <formula>MIN($AF$30:$AF$49)</formula>
    </cfRule>
  </conditionalFormatting>
  <conditionalFormatting sqref="AF31">
    <cfRule type="cellIs" dxfId="226" priority="24" operator="equal">
      <formula>MIN($AF$30:$AF$49)</formula>
    </cfRule>
  </conditionalFormatting>
  <conditionalFormatting sqref="AF32">
    <cfRule type="cellIs" dxfId="225" priority="23" operator="equal">
      <formula>MIN($AF$30:$AF$49)</formula>
    </cfRule>
  </conditionalFormatting>
  <conditionalFormatting sqref="AF33">
    <cfRule type="cellIs" dxfId="224" priority="22" operator="equal">
      <formula>MIN($AF$30:$AF$49)</formula>
    </cfRule>
  </conditionalFormatting>
  <conditionalFormatting sqref="AF37">
    <cfRule type="cellIs" dxfId="223" priority="21" operator="equal">
      <formula>MIN($AF$30:$AF$49)</formula>
    </cfRule>
  </conditionalFormatting>
  <conditionalFormatting sqref="AF38">
    <cfRule type="cellIs" dxfId="222" priority="20" operator="equal">
      <formula>MIN($AF$30:$AF$49)</formula>
    </cfRule>
  </conditionalFormatting>
  <conditionalFormatting sqref="AF39">
    <cfRule type="cellIs" dxfId="221" priority="19" operator="equal">
      <formula>MIN($AF$30:$AF$49)</formula>
    </cfRule>
  </conditionalFormatting>
  <conditionalFormatting sqref="AF40">
    <cfRule type="cellIs" dxfId="220" priority="18" operator="equal">
      <formula>MIN($AF$30:$AF$49)</formula>
    </cfRule>
  </conditionalFormatting>
  <conditionalFormatting sqref="AF41">
    <cfRule type="cellIs" dxfId="219" priority="17" operator="equal">
      <formula>MIN($AF$30:$AF$49)</formula>
    </cfRule>
  </conditionalFormatting>
  <conditionalFormatting sqref="AF42">
    <cfRule type="cellIs" dxfId="218" priority="16" operator="equal">
      <formula>MIN($AF$30:$AF$49)</formula>
    </cfRule>
  </conditionalFormatting>
  <conditionalFormatting sqref="AF43">
    <cfRule type="cellIs" dxfId="217" priority="15" operator="equal">
      <formula>MIN($AF$30:$AF$49)</formula>
    </cfRule>
  </conditionalFormatting>
  <conditionalFormatting sqref="AF44">
    <cfRule type="cellIs" dxfId="216" priority="14" operator="equal">
      <formula>MIN($AF$30:$AF$49)</formula>
    </cfRule>
  </conditionalFormatting>
  <conditionalFormatting sqref="AF45">
    <cfRule type="cellIs" dxfId="215" priority="13" operator="equal">
      <formula>MIN($AF$30:$AF$49)</formula>
    </cfRule>
  </conditionalFormatting>
  <conditionalFormatting sqref="AF46">
    <cfRule type="cellIs" dxfId="214" priority="12" operator="equal">
      <formula>MIN($AF$30:$AF$49)</formula>
    </cfRule>
  </conditionalFormatting>
  <conditionalFormatting sqref="AF47">
    <cfRule type="cellIs" dxfId="213" priority="11" operator="equal">
      <formula>MIN($AF$30:$AF$49)</formula>
    </cfRule>
  </conditionalFormatting>
  <conditionalFormatting sqref="AF48">
    <cfRule type="cellIs" dxfId="212" priority="10" operator="equal">
      <formula>MIN($AF$30:$AF$49)</formula>
    </cfRule>
  </conditionalFormatting>
  <conditionalFormatting sqref="AF49">
    <cfRule type="cellIs" dxfId="211" priority="9" operator="equal">
      <formula>MIN($AF$30:$AF$49)</formula>
    </cfRule>
  </conditionalFormatting>
  <conditionalFormatting sqref="J30:J49">
    <cfRule type="cellIs" dxfId="210" priority="8" operator="lessThan">
      <formula>0</formula>
    </cfRule>
  </conditionalFormatting>
  <conditionalFormatting sqref="L30:L49">
    <cfRule type="cellIs" dxfId="209" priority="7" operator="lessThan">
      <formula>0</formula>
    </cfRule>
  </conditionalFormatting>
  <conditionalFormatting sqref="U30:U49">
    <cfRule type="cellIs" dxfId="208" priority="6" operator="lessThan">
      <formula>0</formula>
    </cfRule>
  </conditionalFormatting>
  <conditionalFormatting sqref="H30:I49">
    <cfRule type="cellIs" dxfId="207" priority="5" operator="lessThan">
      <formula>0</formula>
    </cfRule>
  </conditionalFormatting>
  <conditionalFormatting sqref="AK28">
    <cfRule type="expression" dxfId="206" priority="3">
      <formula>AND(CELL("col")=(COLUMN()-1),CELL("lin")&gt;=30,CELL("lin")&lt;=49)</formula>
    </cfRule>
  </conditionalFormatting>
  <conditionalFormatting sqref="AN28">
    <cfRule type="expression" dxfId="205" priority="2">
      <formula>AND(CELL("col")=(COLUMN()-1),CELL("lin")&gt;=30,CELL("lin")&lt;=49)</formula>
    </cfRule>
  </conditionalFormatting>
  <conditionalFormatting sqref="AO28">
    <cfRule type="expression" dxfId="204" priority="1">
      <formula>AND(CELL("col")=(COLUMN()-2),CELL("lin")&gt;=30,CELL("lin")&lt;=49)</formula>
    </cfRule>
  </conditionalFormatting>
  <pageMargins left="0.27559055118110237" right="0.15748031496062992" top="0.23622047244094491" bottom="0.19685039370078741" header="0" footer="0.27559055118110237"/>
  <pageSetup paperSize="9" scale="6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99" r:id="rId4" name="Drop Down 115">
              <controlPr defaultSize="0" autoLine="0" autoPict="0">
                <anchor moveWithCells="1">
                  <from>
                    <xdr:col>20</xdr:col>
                    <xdr:colOff>48986</xdr:colOff>
                    <xdr:row>8</xdr:row>
                    <xdr:rowOff>21771</xdr:rowOff>
                  </from>
                  <to>
                    <xdr:col>25</xdr:col>
                    <xdr:colOff>560614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0" r:id="rId5" name="Button 116">
              <controlPr defaultSize="0" print="0" autoFill="0" autoPict="0" macro="[0]!Limpar">
                <anchor>
                  <from>
                    <xdr:col>32</xdr:col>
                    <xdr:colOff>533400</xdr:colOff>
                    <xdr:row>15</xdr:row>
                    <xdr:rowOff>163286</xdr:rowOff>
                  </from>
                  <to>
                    <xdr:col>35</xdr:col>
                    <xdr:colOff>582386</xdr:colOff>
                    <xdr:row>16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2" r:id="rId6" name="Drop Down 118">
              <controlPr defaultSize="0" autoLine="0" autoPict="0">
                <anchor moveWithCells="1">
                  <from>
                    <xdr:col>20</xdr:col>
                    <xdr:colOff>48986</xdr:colOff>
                    <xdr:row>9</xdr:row>
                    <xdr:rowOff>10886</xdr:rowOff>
                  </from>
                  <to>
                    <xdr:col>25</xdr:col>
                    <xdr:colOff>560614</xdr:colOff>
                    <xdr:row>9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3" r:id="rId7" name="Drop Down 119">
              <controlPr defaultSize="0" autoLine="0" autoPict="0">
                <anchor moveWithCells="1">
                  <from>
                    <xdr:col>20</xdr:col>
                    <xdr:colOff>48986</xdr:colOff>
                    <xdr:row>10</xdr:row>
                    <xdr:rowOff>10886</xdr:rowOff>
                  </from>
                  <to>
                    <xdr:col>25</xdr:col>
                    <xdr:colOff>560614</xdr:colOff>
                    <xdr:row>10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4" r:id="rId8" name="Drop Down 120">
              <controlPr defaultSize="0" autoLine="0" autoPict="0">
                <anchor moveWithCells="1">
                  <from>
                    <xdr:col>20</xdr:col>
                    <xdr:colOff>48986</xdr:colOff>
                    <xdr:row>11</xdr:row>
                    <xdr:rowOff>10886</xdr:rowOff>
                  </from>
                  <to>
                    <xdr:col>25</xdr:col>
                    <xdr:colOff>560614</xdr:colOff>
                    <xdr:row>11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5" r:id="rId9" name="Drop Down 121">
              <controlPr defaultSize="0" autoLine="0" autoPict="0">
                <anchor moveWithCells="1">
                  <from>
                    <xdr:col>20</xdr:col>
                    <xdr:colOff>48986</xdr:colOff>
                    <xdr:row>12</xdr:row>
                    <xdr:rowOff>0</xdr:rowOff>
                  </from>
                  <to>
                    <xdr:col>25</xdr:col>
                    <xdr:colOff>560614</xdr:colOff>
                    <xdr:row>12</xdr:row>
                    <xdr:rowOff>212271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6" r:id="rId10" name="Drop Down 122">
              <controlPr defaultSize="0" autoLine="0" autoPict="0">
                <anchor moveWithCells="1">
                  <from>
                    <xdr:col>33</xdr:col>
                    <xdr:colOff>59871</xdr:colOff>
                    <xdr:row>8</xdr:row>
                    <xdr:rowOff>10886</xdr:rowOff>
                  </from>
                  <to>
                    <xdr:col>35</xdr:col>
                    <xdr:colOff>647700</xdr:colOff>
                    <xdr:row>8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7" r:id="rId11" name="Drop Down 123">
              <controlPr defaultSize="0" autoLine="0" autoPict="0">
                <anchor moveWithCells="1">
                  <from>
                    <xdr:col>33</xdr:col>
                    <xdr:colOff>59871</xdr:colOff>
                    <xdr:row>9</xdr:row>
                    <xdr:rowOff>10886</xdr:rowOff>
                  </from>
                  <to>
                    <xdr:col>35</xdr:col>
                    <xdr:colOff>647700</xdr:colOff>
                    <xdr:row>9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8" r:id="rId12" name="Drop Down 124">
              <controlPr defaultSize="0" autoLine="0" autoPict="0">
                <anchor moveWithCells="1">
                  <from>
                    <xdr:col>33</xdr:col>
                    <xdr:colOff>59871</xdr:colOff>
                    <xdr:row>10</xdr:row>
                    <xdr:rowOff>10886</xdr:rowOff>
                  </from>
                  <to>
                    <xdr:col>35</xdr:col>
                    <xdr:colOff>647700</xdr:colOff>
                    <xdr:row>10</xdr:row>
                    <xdr:rowOff>217714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9" r:id="rId13" name="Drop Down 125">
              <controlPr defaultSize="0" autoLine="0" autoPict="0">
                <anchor moveWithCells="1">
                  <from>
                    <xdr:col>33</xdr:col>
                    <xdr:colOff>59871</xdr:colOff>
                    <xdr:row>11</xdr:row>
                    <xdr:rowOff>0</xdr:rowOff>
                  </from>
                  <to>
                    <xdr:col>35</xdr:col>
                    <xdr:colOff>647700</xdr:colOff>
                    <xdr:row>11</xdr:row>
                    <xdr:rowOff>212271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0" r:id="rId14" name="Drop Down 126">
              <controlPr defaultSize="0" autoLine="0" autoPict="0">
                <anchor moveWithCells="1">
                  <from>
                    <xdr:col>33</xdr:col>
                    <xdr:colOff>59871</xdr:colOff>
                    <xdr:row>12</xdr:row>
                    <xdr:rowOff>0</xdr:rowOff>
                  </from>
                  <to>
                    <xdr:col>35</xdr:col>
                    <xdr:colOff>647700</xdr:colOff>
                    <xdr:row>12</xdr:row>
                    <xdr:rowOff>212271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2" r:id="rId15" name="Drop Down 518">
              <controlPr defaultSize="0" autoLine="0" autoPict="0">
                <anchor>
                  <from>
                    <xdr:col>8</xdr:col>
                    <xdr:colOff>0</xdr:colOff>
                    <xdr:row>3</xdr:row>
                    <xdr:rowOff>250371</xdr:rowOff>
                  </from>
                  <to>
                    <xdr:col>9</xdr:col>
                    <xdr:colOff>478971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3">
    <tabColor indexed="53"/>
  </sheetPr>
  <dimension ref="A1:GK107"/>
  <sheetViews>
    <sheetView showGridLines="0" showRowColHeaders="0" showZeros="0" zoomScale="110" zoomScaleNormal="110" workbookViewId="0">
      <selection activeCell="M10" sqref="M10"/>
    </sheetView>
  </sheetViews>
  <sheetFormatPr defaultColWidth="1" defaultRowHeight="12.45" x14ac:dyDescent="0.3"/>
  <cols>
    <col min="1" max="1" width="1" style="2" customWidth="1"/>
    <col min="2" max="2" width="5" style="2" customWidth="1"/>
    <col min="3" max="3" width="5.69140625" style="2" customWidth="1"/>
    <col min="4" max="4" width="6.84375" style="2" customWidth="1"/>
    <col min="5" max="5" width="6.69140625" style="2" customWidth="1"/>
    <col min="6" max="6" width="10.3828125" style="2" customWidth="1"/>
    <col min="7" max="7" width="7.3828125" style="2" customWidth="1"/>
    <col min="8" max="8" width="7.3046875" style="2" customWidth="1"/>
    <col min="9" max="9" width="2.53515625" style="2" hidden="1" customWidth="1"/>
    <col min="10" max="10" width="3.3046875" style="2" hidden="1" customWidth="1"/>
    <col min="11" max="12" width="4.84375" style="2" hidden="1" customWidth="1"/>
    <col min="13" max="13" width="8.53515625" style="2" customWidth="1"/>
    <col min="14" max="14" width="8" style="2" customWidth="1"/>
    <col min="15" max="15" width="8.3828125" style="2" customWidth="1"/>
    <col min="16" max="16" width="8.69140625" style="2" customWidth="1"/>
    <col min="17" max="17" width="8.3828125" style="2" customWidth="1"/>
    <col min="18" max="18" width="8.53515625" style="2" customWidth="1"/>
    <col min="19" max="19" width="7.84375" style="2" hidden="1" customWidth="1"/>
    <col min="20" max="20" width="7.84375" style="2" customWidth="1"/>
    <col min="21" max="21" width="6.69140625" style="2" hidden="1" customWidth="1"/>
    <col min="22" max="22" width="9" style="2" customWidth="1"/>
    <col min="23" max="24" width="9.3828125" style="2" hidden="1" customWidth="1"/>
    <col min="25" max="25" width="8.69140625" style="2" customWidth="1"/>
    <col min="26" max="26" width="7.84375" style="2" customWidth="1"/>
    <col min="27" max="27" width="8.53515625" style="2" customWidth="1"/>
    <col min="28" max="28" width="7.84375" style="2" customWidth="1"/>
    <col min="29" max="29" width="8.69140625" style="2" customWidth="1"/>
    <col min="30" max="30" width="9" style="2" customWidth="1"/>
    <col min="31" max="31" width="8.69140625" style="2" customWidth="1"/>
    <col min="32" max="32" width="7" style="2" customWidth="1"/>
    <col min="33" max="33" width="8.53515625" style="2" customWidth="1"/>
    <col min="34" max="34" width="10.69140625" style="2" customWidth="1"/>
    <col min="35" max="35" width="5.3828125" style="2" customWidth="1"/>
    <col min="36" max="36" width="10.15234375" style="2" hidden="1" customWidth="1"/>
    <col min="37" max="37" width="0" style="2" hidden="1" customWidth="1"/>
    <col min="38" max="38" width="7.53515625" style="2" customWidth="1"/>
    <col min="39" max="39" width="8" style="2" customWidth="1"/>
    <col min="40" max="40" width="9.15234375" style="2" customWidth="1"/>
    <col min="41" max="41" width="0.53515625" style="2" customWidth="1"/>
    <col min="42" max="42" width="3.69140625" style="2" customWidth="1"/>
    <col min="43" max="44" width="0.84375" style="2" customWidth="1"/>
    <col min="45" max="45" width="0.53515625" style="2" customWidth="1"/>
    <col min="46" max="47" width="1" style="2" customWidth="1"/>
    <col min="48" max="48" width="5.69140625" style="2" hidden="1" customWidth="1"/>
    <col min="49" max="49" width="4.3046875" style="2" hidden="1" customWidth="1"/>
    <col min="50" max="54" width="7.84375" style="2" hidden="1" customWidth="1"/>
    <col min="55" max="59" width="6.3046875" style="2" hidden="1" customWidth="1"/>
    <col min="60" max="67" width="7.15234375" style="2" hidden="1" customWidth="1"/>
    <col min="68" max="71" width="0.84375" style="2" hidden="1" customWidth="1"/>
    <col min="72" max="84" width="4.3828125" style="2" hidden="1" customWidth="1"/>
    <col min="85" max="94" width="2.3046875" style="2" hidden="1" customWidth="1"/>
    <col min="95" max="95" width="3.53515625" style="2" hidden="1" customWidth="1"/>
    <col min="96" max="99" width="2.3046875" style="2" hidden="1" customWidth="1"/>
    <col min="100" max="100" width="7.3046875" style="2" hidden="1" customWidth="1"/>
    <col min="101" max="101" width="28.69140625" style="2" hidden="1" customWidth="1"/>
    <col min="102" max="102" width="7.84375" style="2" hidden="1" customWidth="1"/>
    <col min="103" max="103" width="9.53515625" style="2" hidden="1" customWidth="1"/>
    <col min="104" max="104" width="8.53515625" style="2" hidden="1" customWidth="1"/>
    <col min="105" max="105" width="6.3828125" style="2" hidden="1" customWidth="1"/>
    <col min="106" max="107" width="4.3828125" style="2" hidden="1" customWidth="1"/>
    <col min="108" max="108" width="4" style="2" hidden="1" customWidth="1"/>
    <col min="109" max="109" width="4.69140625" style="2" hidden="1" customWidth="1"/>
    <col min="110" max="110" width="6.15234375" style="2" hidden="1" customWidth="1"/>
    <col min="111" max="111" width="2.84375" style="2" hidden="1" customWidth="1"/>
    <col min="112" max="112" width="3" style="2" hidden="1" customWidth="1"/>
    <col min="113" max="113" width="2" style="2" hidden="1" customWidth="1"/>
    <col min="114" max="114" width="4.3046875" style="2" hidden="1" customWidth="1"/>
    <col min="115" max="115" width="4.3828125" style="2" hidden="1" customWidth="1"/>
    <col min="116" max="116" width="4" style="2" hidden="1" customWidth="1"/>
    <col min="117" max="117" width="4.69140625" style="2" hidden="1" customWidth="1"/>
    <col min="118" max="118" width="6.15234375" style="2" hidden="1" customWidth="1"/>
    <col min="119" max="121" width="4.3828125" style="2" hidden="1" customWidth="1"/>
    <col min="122" max="122" width="4.3046875" style="2" hidden="1" customWidth="1"/>
    <col min="123" max="123" width="4.3828125" style="2" hidden="1" customWidth="1"/>
    <col min="124" max="124" width="4" style="2" hidden="1" customWidth="1"/>
    <col min="125" max="125" width="4.69140625" style="2" hidden="1" customWidth="1"/>
    <col min="126" max="126" width="6.15234375" style="2" hidden="1" customWidth="1"/>
    <col min="127" max="129" width="4.3828125" style="2" hidden="1" customWidth="1"/>
    <col min="130" max="130" width="4.3046875" style="2" hidden="1" customWidth="1"/>
    <col min="131" max="131" width="4.3828125" style="2" hidden="1" customWidth="1"/>
    <col min="132" max="132" width="4" style="2" hidden="1" customWidth="1"/>
    <col min="133" max="133" width="4.69140625" style="2" hidden="1" customWidth="1"/>
    <col min="134" max="134" width="6.15234375" style="2" hidden="1" customWidth="1"/>
    <col min="135" max="137" width="4.3828125" style="2" hidden="1" customWidth="1"/>
    <col min="138" max="138" width="4.3046875" style="2" hidden="1" customWidth="1"/>
    <col min="139" max="139" width="4.3828125" style="2" hidden="1" customWidth="1"/>
    <col min="140" max="140" width="4" style="2" hidden="1" customWidth="1"/>
    <col min="141" max="141" width="4.69140625" style="2" hidden="1" customWidth="1"/>
    <col min="142" max="142" width="6.15234375" style="2" hidden="1" customWidth="1"/>
    <col min="143" max="145" width="4.3828125" style="2" hidden="1" customWidth="1"/>
    <col min="146" max="146" width="4.3046875" style="2" hidden="1" customWidth="1"/>
    <col min="147" max="147" width="4.3828125" style="2" hidden="1" customWidth="1"/>
    <col min="148" max="148" width="4" style="2" hidden="1" customWidth="1"/>
    <col min="149" max="149" width="4.69140625" style="2" hidden="1" customWidth="1"/>
    <col min="150" max="150" width="5.69140625" style="2" hidden="1" customWidth="1"/>
    <col min="151" max="153" width="4.3828125" style="2" hidden="1" customWidth="1"/>
    <col min="154" max="154" width="4.3046875" style="2" hidden="1" customWidth="1"/>
    <col min="155" max="155" width="4.3828125" style="2" hidden="1" customWidth="1"/>
    <col min="156" max="156" width="4" style="2" hidden="1" customWidth="1"/>
    <col min="157" max="157" width="4.69140625" style="2" hidden="1" customWidth="1"/>
    <col min="158" max="158" width="5.69140625" style="2" hidden="1" customWidth="1"/>
    <col min="159" max="161" width="4.3828125" style="2" hidden="1" customWidth="1"/>
    <col min="162" max="162" width="4.3046875" style="2" hidden="1" customWidth="1"/>
    <col min="163" max="163" width="4.3828125" style="2" hidden="1" customWidth="1"/>
    <col min="164" max="164" width="4" style="2" hidden="1" customWidth="1"/>
    <col min="165" max="165" width="4.69140625" style="2" hidden="1" customWidth="1"/>
    <col min="166" max="166" width="5.84375" style="2" hidden="1" customWidth="1"/>
    <col min="167" max="173" width="4.15234375" style="2" hidden="1" customWidth="1"/>
    <col min="174" max="174" width="5.84375" style="2" hidden="1" customWidth="1"/>
    <col min="175" max="181" width="4.15234375" style="2" hidden="1" customWidth="1"/>
    <col min="182" max="182" width="5.84375" style="2" hidden="1" customWidth="1"/>
    <col min="183" max="189" width="4.15234375" style="2" hidden="1" customWidth="1"/>
    <col min="190" max="190" width="6.3828125" style="2" hidden="1" customWidth="1"/>
    <col min="191" max="191" width="8.69140625" style="2" customWidth="1"/>
    <col min="192" max="192" width="1.3046875" style="2" customWidth="1"/>
    <col min="193" max="254" width="9.15234375" style="2" customWidth="1"/>
    <col min="255" max="259" width="1" style="2"/>
    <col min="260" max="260" width="2.84375" style="2" bestFit="1" customWidth="1"/>
    <col min="261" max="16384" width="1" style="2"/>
  </cols>
  <sheetData>
    <row r="1" spans="2:99" ht="4.5" customHeight="1" x14ac:dyDescent="0.3"/>
    <row r="2" spans="2:99" s="16" customFormat="1" ht="19.5" customHeight="1" x14ac:dyDescent="0.3">
      <c r="B2" s="1011" t="s">
        <v>400</v>
      </c>
      <c r="C2" s="1012"/>
      <c r="D2" s="1013"/>
      <c r="E2" s="1013"/>
      <c r="F2" s="1013"/>
      <c r="G2" s="1013"/>
      <c r="H2" s="1013"/>
      <c r="I2" s="1013"/>
      <c r="J2" s="1013"/>
      <c r="K2" s="1013"/>
      <c r="L2" s="1013"/>
      <c r="M2" s="1013"/>
      <c r="N2" s="1013"/>
      <c r="O2" s="1013"/>
      <c r="P2" s="1013"/>
      <c r="Q2" s="1013"/>
      <c r="R2" s="691"/>
      <c r="S2" s="353"/>
      <c r="T2" s="354" t="s">
        <v>143</v>
      </c>
      <c r="U2" s="354"/>
      <c r="V2" s="1210">
        <f>'Cálculo-Instalação Colectiva-MP'!W2</f>
        <v>0</v>
      </c>
      <c r="W2" s="1210"/>
      <c r="X2" s="1210"/>
      <c r="Y2" s="1210"/>
      <c r="Z2" s="1210"/>
      <c r="AB2" s="354" t="s">
        <v>144</v>
      </c>
      <c r="AC2" s="1210">
        <f>'Cálculo-Instalação Colectiva-MP'!AD2</f>
        <v>0</v>
      </c>
      <c r="AD2" s="1210"/>
      <c r="AE2" s="1210"/>
      <c r="AF2" s="1210"/>
      <c r="AG2" s="1210"/>
      <c r="AH2" s="1210"/>
      <c r="AI2" s="1210"/>
      <c r="AJ2" s="1210"/>
      <c r="AK2" s="1210"/>
      <c r="AL2" s="1210"/>
      <c r="AM2" s="354" t="s">
        <v>145</v>
      </c>
      <c r="AN2" s="1211">
        <f>'Cálculo-Instalação Colectiva-MP'!AN2</f>
        <v>0</v>
      </c>
      <c r="AO2" s="1212"/>
      <c r="AP2" s="1212"/>
      <c r="AQ2" s="1212"/>
      <c r="AR2" s="1212"/>
      <c r="AS2" s="393"/>
      <c r="AT2" s="393"/>
      <c r="AU2" s="708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</row>
    <row r="3" spans="2:99" ht="3.75" customHeight="1" thickBot="1" x14ac:dyDescent="0.35">
      <c r="D3" s="18"/>
      <c r="AS3" s="393"/>
      <c r="AT3" s="393"/>
    </row>
    <row r="4" spans="2:99" s="356" customFormat="1" ht="18.75" customHeight="1" thickTop="1" thickBot="1" x14ac:dyDescent="0.35">
      <c r="B4" s="993"/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1" t="s">
        <v>348</v>
      </c>
      <c r="N4" s="991" t="s">
        <v>349</v>
      </c>
      <c r="O4" s="992" t="s">
        <v>350</v>
      </c>
      <c r="P4" s="993"/>
      <c r="Q4" s="993"/>
      <c r="R4" s="993"/>
      <c r="S4" s="993"/>
      <c r="T4" s="993"/>
      <c r="U4" s="993"/>
      <c r="V4" s="993"/>
      <c r="W4" s="979"/>
      <c r="X4" s="979"/>
      <c r="Y4" s="1003"/>
      <c r="Z4" s="1014"/>
      <c r="AA4" s="1014"/>
      <c r="AB4" s="1004" t="s">
        <v>139</v>
      </c>
      <c r="AC4" s="1004"/>
      <c r="AD4" s="1004" t="s">
        <v>109</v>
      </c>
      <c r="AE4" s="1005"/>
      <c r="AF4" s="1005"/>
      <c r="AG4" s="1003"/>
      <c r="AH4" s="1015"/>
      <c r="AI4" s="1015"/>
      <c r="AJ4" s="1016"/>
      <c r="AK4" s="1016"/>
      <c r="AL4" s="1004" t="s">
        <v>139</v>
      </c>
      <c r="AM4" s="1004"/>
      <c r="AN4" s="1004" t="s">
        <v>109</v>
      </c>
      <c r="AO4" s="1017"/>
      <c r="AP4" s="1017"/>
      <c r="AQ4" s="1017"/>
      <c r="AR4" s="1017"/>
      <c r="AS4" s="393"/>
      <c r="AT4" s="393"/>
      <c r="AU4" s="895"/>
    </row>
    <row r="5" spans="2:99" ht="18.75" customHeight="1" thickTop="1" thickBot="1" x14ac:dyDescent="0.45">
      <c r="B5" s="361"/>
      <c r="D5" s="708" t="s">
        <v>496</v>
      </c>
      <c r="H5" s="780"/>
      <c r="I5" s="179"/>
      <c r="J5" s="179"/>
      <c r="K5" s="179"/>
      <c r="L5" s="179"/>
      <c r="M5" s="904" t="str">
        <f>IF('Cálculo-Instalação Colectiva-MP'!$I$5=1,"Gás Natural (GN)",IF('Cálculo-Instalação Colectiva-MP'!$I$5=2,"Gás Propano (GPL)",IF('Cálculo-Instalação Colectiva-MP'!$I$5=1,"Gás de Cidade (GC)","")))</f>
        <v>Gás Natural (GN)</v>
      </c>
      <c r="O5" s="694" t="str">
        <f>IF('Cálculo-Instalação Colectiva-MP'!$I$5=1,"Requisito aplicável em Portugal",IF('Cálculo-Instalação Colectiva-MP'!$I$5=2,"Gás especificado pelo utilizador",IF('Cálculo-Instalação Colectiva-MP'!$I$5=3,"Gás especificado pelo utilizador","Gás especificado pelo utilizador")))</f>
        <v>Requisito aplicável em Portugal</v>
      </c>
      <c r="P5" s="3"/>
      <c r="U5" s="778"/>
      <c r="V5" s="811"/>
      <c r="W5" s="178"/>
      <c r="X5" s="779"/>
      <c r="Y5" s="1040"/>
      <c r="Z5" s="1041"/>
      <c r="AA5" s="1041"/>
      <c r="AB5" s="1042" t="s">
        <v>87</v>
      </c>
      <c r="AC5" s="1042"/>
      <c r="AD5" s="1043" t="s">
        <v>42</v>
      </c>
      <c r="AF5" s="811"/>
      <c r="AG5" s="1103"/>
      <c r="AH5" s="1049"/>
      <c r="AI5" s="1049"/>
      <c r="AJ5" s="1056"/>
      <c r="AK5" s="1056"/>
      <c r="AL5" s="1042" t="s">
        <v>87</v>
      </c>
      <c r="AM5" s="1042"/>
      <c r="AN5" s="1043" t="s">
        <v>42</v>
      </c>
      <c r="AO5" s="15"/>
    </row>
    <row r="6" spans="2:99" ht="15" customHeight="1" thickTop="1" thickBot="1" x14ac:dyDescent="0.35">
      <c r="B6" s="361"/>
      <c r="D6" s="681" t="s">
        <v>406</v>
      </c>
      <c r="E6" s="663"/>
      <c r="F6" s="663"/>
      <c r="G6" s="671" t="s">
        <v>79</v>
      </c>
      <c r="H6" s="798" t="s">
        <v>398</v>
      </c>
      <c r="I6" s="495"/>
      <c r="J6" s="495"/>
      <c r="K6" s="494"/>
      <c r="L6" s="494"/>
      <c r="M6" s="793" t="str">
        <f>IF('Cálculo-Instalação Colectiva-MP'!K6="","",'Cálculo-Instalação Colectiva-MP'!K6)</f>
        <v/>
      </c>
      <c r="N6" s="800">
        <f>IF('Cálculo-Instalação Colectiva-MP'!L6="","",'Cálculo-Instalação Colectiva-MP'!L6)</f>
        <v>9054</v>
      </c>
      <c r="O6" s="819" t="str">
        <f>IF('Cálculo-Instalação Colectiva-MP'!M6="","",'Cálculo-Instalação Colectiva-MP'!M6)</f>
        <v>Medido em condições normais</v>
      </c>
      <c r="P6" s="905"/>
      <c r="Q6" s="663"/>
      <c r="U6" s="180"/>
      <c r="V6" s="812"/>
      <c r="W6" s="771"/>
      <c r="X6" s="180"/>
      <c r="Y6" s="1102"/>
      <c r="Z6" s="1054"/>
      <c r="AA6" s="1054"/>
      <c r="AB6" s="1046" t="s">
        <v>4</v>
      </c>
      <c r="AC6" s="1047"/>
      <c r="AD6" s="1055" t="s">
        <v>88</v>
      </c>
      <c r="AE6" s="80"/>
      <c r="AF6" s="812"/>
      <c r="AG6" s="1102"/>
      <c r="AH6" s="1050"/>
      <c r="AI6" s="1050"/>
      <c r="AJ6" s="1056"/>
      <c r="AK6" s="1056"/>
      <c r="AL6" s="1046" t="s">
        <v>4</v>
      </c>
      <c r="AM6" s="1047"/>
      <c r="AN6" s="1055" t="s">
        <v>88</v>
      </c>
      <c r="AO6" s="814" t="s">
        <v>20</v>
      </c>
      <c r="AP6" s="815">
        <v>1</v>
      </c>
      <c r="AY6" s="231" t="s">
        <v>324</v>
      </c>
      <c r="AZ6" s="222"/>
      <c r="BA6" s="222"/>
      <c r="BB6" s="223"/>
    </row>
    <row r="7" spans="2:99" s="21" customFormat="1" ht="15" customHeight="1" thickTop="1" thickBot="1" x14ac:dyDescent="0.45">
      <c r="B7" s="361"/>
      <c r="D7" s="664" t="s">
        <v>112</v>
      </c>
      <c r="E7" s="665"/>
      <c r="F7" s="665"/>
      <c r="G7" s="672" t="s">
        <v>278</v>
      </c>
      <c r="H7" s="667"/>
      <c r="K7" s="492"/>
      <c r="L7" s="492"/>
      <c r="M7" s="794" t="str">
        <f>IF('Cálculo-Instalação Colectiva-MP'!K7="","",'Cálculo-Instalação Colectiva-MP'!K7)</f>
        <v/>
      </c>
      <c r="N7" s="170">
        <f>IF('Cálculo-Instalação Colectiva-MP'!L7="","",'Cálculo-Instalação Colectiva-MP'!L7)</f>
        <v>0.65</v>
      </c>
      <c r="O7" s="819" t="str">
        <f>IF('Cálculo-Instalação Colectiva-MP'!M7="","",'Cálculo-Instalação Colectiva-MP'!M7)</f>
        <v>Em relação ao ar</v>
      </c>
      <c r="P7" s="820"/>
      <c r="Q7" s="665"/>
      <c r="U7" s="109"/>
      <c r="V7" s="649"/>
      <c r="W7" s="153"/>
      <c r="Y7" s="181"/>
      <c r="AA7" s="774"/>
      <c r="AB7" s="770" t="s">
        <v>280</v>
      </c>
      <c r="AC7" s="492"/>
      <c r="AD7" s="491" t="s">
        <v>281</v>
      </c>
      <c r="AE7" s="81"/>
      <c r="AF7" s="20"/>
      <c r="AG7" s="182"/>
      <c r="AH7" s="109"/>
      <c r="AI7" s="109"/>
      <c r="AL7" s="491" t="s">
        <v>280</v>
      </c>
      <c r="AM7" s="492"/>
      <c r="AN7" s="491" t="s">
        <v>281</v>
      </c>
      <c r="AO7" s="816" t="s">
        <v>126</v>
      </c>
      <c r="AP7" s="817">
        <v>2</v>
      </c>
    </row>
    <row r="8" spans="2:99" ht="15" thickTop="1" thickBot="1" x14ac:dyDescent="0.35">
      <c r="B8" s="362"/>
      <c r="D8" s="664" t="s">
        <v>113</v>
      </c>
      <c r="E8" s="663"/>
      <c r="F8" s="663"/>
      <c r="G8" s="672" t="s">
        <v>279</v>
      </c>
      <c r="H8" s="667"/>
      <c r="K8" s="3"/>
      <c r="L8" s="3"/>
      <c r="M8" s="794" t="str">
        <f>IF('Cálculo-Instalação Colectiva-MP'!K8="","",'Cálculo-Instalação Colectiva-MP'!K8)</f>
        <v/>
      </c>
      <c r="N8" s="170">
        <f>IF('Cálculo-Instalação Colectiva-MP'!L8="","",'Cálculo-Instalação Colectiva-MP'!L8)</f>
        <v>0.62</v>
      </c>
      <c r="O8" s="819" t="str">
        <f>IF('Cálculo-Instalação Colectiva-MP'!M8="","",'Cálculo-Instalação Colectiva-MP'!M8)</f>
        <v>Em relação ao gás de cidade</v>
      </c>
      <c r="P8" s="821"/>
      <c r="Q8" s="663"/>
      <c r="U8" s="21"/>
      <c r="W8" s="497"/>
      <c r="Y8" s="191" t="s">
        <v>399</v>
      </c>
      <c r="AA8" s="364"/>
      <c r="AB8" s="769" t="s">
        <v>55</v>
      </c>
      <c r="AC8" s="3"/>
      <c r="AD8" s="374" t="s">
        <v>164</v>
      </c>
      <c r="AE8" s="81"/>
      <c r="AF8" s="20"/>
      <c r="AG8" s="191" t="s">
        <v>399</v>
      </c>
      <c r="AH8" s="21"/>
      <c r="AI8" s="21"/>
      <c r="AL8" s="373" t="s">
        <v>55</v>
      </c>
      <c r="AM8" s="3"/>
      <c r="AN8" s="374" t="s">
        <v>164</v>
      </c>
      <c r="AO8" s="816" t="s">
        <v>127</v>
      </c>
      <c r="AP8" s="817">
        <v>3</v>
      </c>
      <c r="AY8" s="618">
        <f>'Cálculo-Instalação Colectiva-MP'!AW6</f>
        <v>9054</v>
      </c>
      <c r="AZ8" s="249" t="s">
        <v>322</v>
      </c>
      <c r="BA8" s="617"/>
      <c r="BB8" s="250"/>
    </row>
    <row r="9" spans="2:99" ht="17.25" customHeight="1" thickTop="1" thickBot="1" x14ac:dyDescent="0.35">
      <c r="D9" s="678" t="s">
        <v>355</v>
      </c>
      <c r="E9" s="676"/>
      <c r="F9" s="676"/>
      <c r="G9" s="637" t="s">
        <v>356</v>
      </c>
      <c r="H9" s="797" t="s">
        <v>396</v>
      </c>
      <c r="K9" s="499"/>
      <c r="L9" s="634"/>
      <c r="M9" s="794" t="str">
        <f>IF('Cálculo-Instalação Colectiva-MP'!K9="","",'Cálculo-Instalação Colectiva-MP'!K9)</f>
        <v/>
      </c>
      <c r="N9" s="170">
        <f>IF('Cálculo-Instalação Colectiva-MP'!L9="","",'Cálculo-Instalação Colectiva-MP'!L9)</f>
        <v>0.84</v>
      </c>
      <c r="O9" s="819" t="str">
        <f>IF('Cálculo-Instalação Colectiva-MP'!M9="","",'Cálculo-Instalação Colectiva-MP'!M9)</f>
        <v>Medida em condições normais</v>
      </c>
      <c r="P9" s="663"/>
      <c r="Q9" s="663"/>
      <c r="T9" s="813" t="str">
        <f>IF(V9="","",1)</f>
        <v/>
      </c>
      <c r="U9" s="86"/>
      <c r="V9" s="1131" t="str">
        <f>IF(OR(AB9=0,AB9=""),"","A1")</f>
        <v/>
      </c>
      <c r="W9" s="807"/>
      <c r="X9" s="571"/>
      <c r="Y9" s="788">
        <f>IF('Cálculo-Instalação Colectiva-MP'!$Z9=20,"",VLOOKUP('Cálculo-Instalação Colectiva-MP'!$Z9,'Quadros 0 , 1 , 2 , 3 e 4'!$C$9:$G$27,2))</f>
        <v>0</v>
      </c>
      <c r="Z9" s="807"/>
      <c r="AA9" s="897"/>
      <c r="AB9" s="768">
        <f>'Cálculo-Instalação Colectiva-MP'!AA9</f>
        <v>0</v>
      </c>
      <c r="AC9" s="1132" t="str">
        <f>'Cálculo-Instalação Colectiva-MP'!AB9</f>
        <v/>
      </c>
      <c r="AD9" s="500" t="str">
        <f>'Cálculo-Instalação Colectiva-MP'!AC9</f>
        <v/>
      </c>
      <c r="AE9" s="809" t="str">
        <f>IF(AF9="","",1)</f>
        <v/>
      </c>
      <c r="AF9" s="1131" t="str">
        <f>IF(OR(AL9=0,AL9=""),"","A6")</f>
        <v/>
      </c>
      <c r="AG9" s="788" t="str">
        <f>IF('Cálculo-Instalação Colectiva-MP'!$AJ9=20,"",VLOOKUP('Cálculo-Instalação Colectiva-MP'!$AJ9,'Quadros 0 , 1 , 2 , 3 e 4'!$C$9:$G$27,2))</f>
        <v/>
      </c>
      <c r="AH9" s="789"/>
      <c r="AI9" s="790"/>
      <c r="AL9" s="504" t="str">
        <f>'Cálculo-Instalação Colectiva-MP'!AK9</f>
        <v/>
      </c>
      <c r="AM9" s="1132" t="str">
        <f>'Cálculo-Instalação Colectiva-MP'!AL9</f>
        <v/>
      </c>
      <c r="AN9" s="500" t="str">
        <f>'Cálculo-Instalação Colectiva-MP'!AM9</f>
        <v/>
      </c>
      <c r="AO9" s="816" t="s">
        <v>21</v>
      </c>
      <c r="AP9" s="817">
        <v>4</v>
      </c>
      <c r="AY9" s="248">
        <f>'Cálculo-Instalação Colectiva-MP'!AW7</f>
        <v>0.65</v>
      </c>
      <c r="AZ9" s="249" t="s">
        <v>323</v>
      </c>
      <c r="BA9" s="617"/>
      <c r="BB9" s="250"/>
    </row>
    <row r="10" spans="2:99" ht="17.25" customHeight="1" thickTop="1" thickBot="1" x14ac:dyDescent="0.35">
      <c r="C10" s="664" t="s">
        <v>393</v>
      </c>
      <c r="D10" s="663"/>
      <c r="E10" s="663"/>
      <c r="F10" s="663"/>
      <c r="G10" s="777" t="s">
        <v>440</v>
      </c>
      <c r="H10" s="508" t="str">
        <f>IF('Cálculo-Instalação Colectiva-MP'!$K$17="x","kPa","mbar")</f>
        <v>mbar</v>
      </c>
      <c r="K10" s="30"/>
      <c r="L10" s="29"/>
      <c r="M10" s="969"/>
      <c r="N10" s="640">
        <f>IF(M10&lt;&gt;"",M10,IF('Cálculo-Instalação Colectiva-MP'!$I$5=2,37*$AY$12,IF('Cálculo-Instalação Colectiva-MP'!$I$5=3,10*$AY$12,20*$AY$12)))</f>
        <v>20</v>
      </c>
      <c r="O10" s="819" t="str">
        <f>IF('Cálculo-Instalação Colectiva-MP'!M10="","",'Cálculo-Instalação Colectiva-MP'!M10)</f>
        <v>Requisito aplicável em Portugal</v>
      </c>
      <c r="P10" s="663"/>
      <c r="Q10" s="663"/>
      <c r="T10" s="813" t="str">
        <f>IF(V10="","",2)</f>
        <v/>
      </c>
      <c r="U10" s="86"/>
      <c r="V10" s="1131" t="str">
        <f>IF(OR(AB10=0,AB10=""),"","A2")</f>
        <v/>
      </c>
      <c r="W10" s="801"/>
      <c r="X10" s="498"/>
      <c r="Y10" s="782">
        <f>IF('Cálculo-Instalação Colectiva-MP'!$Z10=20,"",VLOOKUP('Cálculo-Instalação Colectiva-MP'!$Z10,'Quadros 0 , 1 , 2 , 3 e 4'!$C$9:$G$27,2))</f>
        <v>0</v>
      </c>
      <c r="Z10" s="801"/>
      <c r="AA10" s="898"/>
      <c r="AB10" s="498">
        <f>'Cálculo-Instalação Colectiva-MP'!AA10</f>
        <v>0</v>
      </c>
      <c r="AC10" s="1133" t="str">
        <f>'Cálculo-Instalação Colectiva-MP'!AB10</f>
        <v/>
      </c>
      <c r="AD10" s="503" t="str">
        <f>'Cálculo-Instalação Colectiva-MP'!AC10</f>
        <v/>
      </c>
      <c r="AE10" s="809" t="str">
        <f>IF(AF10="","",2)</f>
        <v/>
      </c>
      <c r="AF10" s="1131" t="str">
        <f>IF(OR(AL10=0,AL10=""),"","A7")</f>
        <v/>
      </c>
      <c r="AG10" s="782" t="str">
        <f>IF('Cálculo-Instalação Colectiva-MP'!$AJ10=20,"",VLOOKUP('Cálculo-Instalação Colectiva-MP'!$AJ10,'Quadros 0 , 1 , 2 , 3 e 4'!$C$9:$G$27,2))</f>
        <v/>
      </c>
      <c r="AH10" s="783"/>
      <c r="AI10" s="784"/>
      <c r="AL10" s="506" t="str">
        <f>'Cálculo-Instalação Colectiva-MP'!AK10</f>
        <v/>
      </c>
      <c r="AM10" s="1133" t="str">
        <f>'Cálculo-Instalação Colectiva-MP'!AL10</f>
        <v/>
      </c>
      <c r="AN10" s="507" t="str">
        <f>'Cálculo-Instalação Colectiva-MP'!AM10</f>
        <v/>
      </c>
      <c r="AO10" s="816" t="s">
        <v>128</v>
      </c>
      <c r="AP10" s="817">
        <v>5</v>
      </c>
      <c r="AY10" s="248">
        <f>'Cálculo-Instalação Colectiva-MP'!AW8</f>
        <v>0.62</v>
      </c>
      <c r="AZ10" s="249" t="s">
        <v>325</v>
      </c>
      <c r="BA10" s="617"/>
      <c r="BB10" s="250"/>
    </row>
    <row r="11" spans="2:99" ht="15" thickTop="1" thickBot="1" x14ac:dyDescent="0.35">
      <c r="C11" s="679" t="s">
        <v>394</v>
      </c>
      <c r="D11" s="663"/>
      <c r="E11" s="663"/>
      <c r="F11" s="663"/>
      <c r="G11" s="674" t="s">
        <v>360</v>
      </c>
      <c r="H11" s="669" t="str">
        <f>IF($K$15="x","kPa","mbar")</f>
        <v>mbar</v>
      </c>
      <c r="K11" s="30"/>
      <c r="L11" s="29"/>
      <c r="M11" s="920"/>
      <c r="N11" s="799">
        <f>IF(OR(M11="",M11=0),1.5*$AY$12,M11)</f>
        <v>1.5</v>
      </c>
      <c r="O11" s="819" t="str">
        <f>IF('Cálculo-Instalação Colectiva-MP'!M11="","",'Cálculo-Instalação Colectiva-MP'!M11)</f>
        <v>Requisito aplicável em Portugal</v>
      </c>
      <c r="P11" s="663"/>
      <c r="Q11" s="663"/>
      <c r="T11" s="813" t="str">
        <f>IF(V11="","",3)</f>
        <v/>
      </c>
      <c r="U11" s="86"/>
      <c r="V11" s="1131" t="str">
        <f>IF(OR(AB11=0,AB11=""),"","A3")</f>
        <v/>
      </c>
      <c r="W11" s="783"/>
      <c r="X11" s="498"/>
      <c r="Y11" s="782">
        <f>IF('Cálculo-Instalação Colectiva-MP'!$Z11=20,"",VLOOKUP('Cálculo-Instalação Colectiva-MP'!$Z11,'Quadros 0 , 1 , 2 , 3 e 4'!$C$9:$G$27,2))</f>
        <v>0</v>
      </c>
      <c r="Z11" s="801"/>
      <c r="AA11" s="784"/>
      <c r="AB11" s="498">
        <f>'Cálculo-Instalação Colectiva-MP'!AA11</f>
        <v>0</v>
      </c>
      <c r="AC11" s="1133" t="str">
        <f>'Cálculo-Instalação Colectiva-MP'!AB11</f>
        <v/>
      </c>
      <c r="AD11" s="503" t="str">
        <f>'Cálculo-Instalação Colectiva-MP'!AC11</f>
        <v/>
      </c>
      <c r="AE11" s="809" t="str">
        <f>IF(AF11="","",3)</f>
        <v/>
      </c>
      <c r="AF11" s="1131" t="str">
        <f>IF(OR(AL11=0,AL11=""),"","A8")</f>
        <v/>
      </c>
      <c r="AG11" s="782" t="str">
        <f>IF('Cálculo-Instalação Colectiva-MP'!$AJ11=20,"",VLOOKUP('Cálculo-Instalação Colectiva-MP'!$AJ11,'Quadros 0 , 1 , 2 , 3 e 4'!$C$9:$G$27,2))</f>
        <v/>
      </c>
      <c r="AH11" s="783"/>
      <c r="AI11" s="784"/>
      <c r="AL11" s="506" t="str">
        <f>'Cálculo-Instalação Colectiva-MP'!AK11</f>
        <v/>
      </c>
      <c r="AM11" s="1133" t="str">
        <f>'Cálculo-Instalação Colectiva-MP'!AL11</f>
        <v/>
      </c>
      <c r="AN11" s="507" t="str">
        <f>'Cálculo-Instalação Colectiva-MP'!AM11</f>
        <v/>
      </c>
      <c r="AO11" s="816" t="s">
        <v>129</v>
      </c>
      <c r="AP11" s="817">
        <v>6</v>
      </c>
      <c r="AY11" s="248">
        <f>IF(N10="","",N10)</f>
        <v>20</v>
      </c>
      <c r="AZ11" s="249" t="s">
        <v>241</v>
      </c>
      <c r="BA11" s="617"/>
      <c r="BB11" s="250"/>
    </row>
    <row r="12" spans="2:99" ht="15" thickTop="1" thickBot="1" x14ac:dyDescent="0.35">
      <c r="C12" s="679" t="s">
        <v>395</v>
      </c>
      <c r="D12" s="663"/>
      <c r="E12" s="663"/>
      <c r="F12" s="663"/>
      <c r="G12" s="675" t="s">
        <v>358</v>
      </c>
      <c r="H12" s="670" t="s">
        <v>60</v>
      </c>
      <c r="I12" s="82"/>
      <c r="J12" s="82"/>
      <c r="K12" s="501"/>
      <c r="L12" s="635"/>
      <c r="M12" s="920"/>
      <c r="N12" s="710">
        <f>IF(OR(M12="",M12=0),10,M12)</f>
        <v>10</v>
      </c>
      <c r="O12" s="819" t="str">
        <f>IF('Cálculo-Instalação Colectiva-MP'!M12="","",'Cálculo-Instalação Colectiva-MP'!M12)</f>
        <v>Requisito aplicável em Portugal</v>
      </c>
      <c r="P12" s="663"/>
      <c r="Q12" s="663"/>
      <c r="T12" s="813" t="str">
        <f>IF(V12="","",4)</f>
        <v/>
      </c>
      <c r="U12" s="86"/>
      <c r="V12" s="1131" t="str">
        <f>IF(OR(AB12=0,AB12=""),"","A4")</f>
        <v/>
      </c>
      <c r="W12" s="801"/>
      <c r="X12" s="498"/>
      <c r="Y12" s="782">
        <f>IF('Cálculo-Instalação Colectiva-MP'!$Z12=20,"",VLOOKUP('Cálculo-Instalação Colectiva-MP'!$Z12,'Quadros 0 , 1 , 2 , 3 e 4'!$C$9:$G$27,2))</f>
        <v>0</v>
      </c>
      <c r="Z12" s="801"/>
      <c r="AA12" s="898"/>
      <c r="AB12" s="498">
        <f>'Cálculo-Instalação Colectiva-MP'!AA12</f>
        <v>0</v>
      </c>
      <c r="AC12" s="1133" t="str">
        <f>'Cálculo-Instalação Colectiva-MP'!AB12</f>
        <v/>
      </c>
      <c r="AD12" s="503" t="str">
        <f>'Cálculo-Instalação Colectiva-MP'!AC12</f>
        <v/>
      </c>
      <c r="AE12" s="809" t="str">
        <f>IF(AF12="","",4)</f>
        <v/>
      </c>
      <c r="AF12" s="1131" t="str">
        <f>IF(OR(AL12=0,AL12=""),"","A9")</f>
        <v/>
      </c>
      <c r="AG12" s="782" t="str">
        <f>IF('Cálculo-Instalação Colectiva-MP'!$AJ12=20,"",VLOOKUP('Cálculo-Instalação Colectiva-MP'!$AJ12,'Quadros 0 , 1 , 2 , 3 e 4'!$C$9:$G$27,2))</f>
        <v/>
      </c>
      <c r="AH12" s="783"/>
      <c r="AI12" s="784"/>
      <c r="AL12" s="506" t="str">
        <f>'Cálculo-Instalação Colectiva-MP'!AK12</f>
        <v/>
      </c>
      <c r="AM12" s="1133" t="str">
        <f>'Cálculo-Instalação Colectiva-MP'!AL12</f>
        <v/>
      </c>
      <c r="AN12" s="507" t="str">
        <f>'Cálculo-Instalação Colectiva-MP'!AM12</f>
        <v/>
      </c>
      <c r="AO12" s="816" t="s">
        <v>130</v>
      </c>
      <c r="AP12" s="817">
        <v>7</v>
      </c>
      <c r="AY12" s="624">
        <f>'Cálculo-Instalação Colectiva-MP'!AW12</f>
        <v>1</v>
      </c>
      <c r="AZ12" s="625" t="s">
        <v>326</v>
      </c>
      <c r="BA12" s="626"/>
      <c r="BB12" s="627"/>
      <c r="BC12" s="627"/>
    </row>
    <row r="13" spans="2:99" ht="15" thickTop="1" thickBot="1" x14ac:dyDescent="0.35">
      <c r="C13" s="678" t="s">
        <v>364</v>
      </c>
      <c r="D13" s="663"/>
      <c r="E13" s="663"/>
      <c r="F13" s="663"/>
      <c r="G13" s="673" t="s">
        <v>343</v>
      </c>
      <c r="H13" s="669" t="s">
        <v>344</v>
      </c>
      <c r="K13" s="30"/>
      <c r="L13" s="29"/>
      <c r="M13" s="795" t="str">
        <f>IF('Cálculo-Instalação Colectiva-MP'!K13="","",'Cálculo-Instalação Colectiva-MP'!K13)</f>
        <v/>
      </c>
      <c r="N13" s="633">
        <f>IF('Cálculo-Instalação Colectiva-MP'!L13="","",'Cálculo-Instalação Colectiva-MP'!L13)</f>
        <v>0.2</v>
      </c>
      <c r="O13" s="819" t="str">
        <f>IF('Cálculo-Instalação Colectiva-MP'!M13="","",'Cálculo-Instalação Colectiva-MP'!M13)</f>
        <v>Requisito aplicável em Portugal</v>
      </c>
      <c r="P13" s="663"/>
      <c r="Q13" s="663"/>
      <c r="T13" s="813" t="str">
        <f>IF(V13="","",5)</f>
        <v/>
      </c>
      <c r="U13" s="86"/>
      <c r="V13" s="1131" t="str">
        <f>IF(OR(AB13=0,AB13=""),"","A5")</f>
        <v/>
      </c>
      <c r="W13" s="786"/>
      <c r="X13" s="571"/>
      <c r="Y13" s="785">
        <f>IF('Cálculo-Instalação Colectiva-MP'!$Z13=20,"",VLOOKUP('Cálculo-Instalação Colectiva-MP'!$Z13,'Quadros 0 , 1 , 2 , 3 e 4'!$C$9:$G$27,2))</f>
        <v>0</v>
      </c>
      <c r="AA13" s="787"/>
      <c r="AB13" s="772">
        <f>'Cálculo-Instalação Colectiva-MP'!AA13</f>
        <v>0</v>
      </c>
      <c r="AC13" s="1134" t="str">
        <f>'Cálculo-Instalação Colectiva-MP'!AB13</f>
        <v/>
      </c>
      <c r="AD13" s="502" t="str">
        <f>'Cálculo-Instalação Colectiva-MP'!AC13</f>
        <v/>
      </c>
      <c r="AE13" s="809" t="str">
        <f>IF(AF13="","",5)</f>
        <v/>
      </c>
      <c r="AF13" s="1131" t="str">
        <f>IF(OR(AL13=0,AL13=""),"","A10")</f>
        <v/>
      </c>
      <c r="AG13" s="785" t="str">
        <f>IF('Cálculo-Instalação Colectiva-MP'!$AJ13=20,"",VLOOKUP('Cálculo-Instalação Colectiva-MP'!$AJ13,'Quadros 0 , 1 , 2 , 3 e 4'!$C$9:$G$27,2))</f>
        <v/>
      </c>
      <c r="AH13" s="786"/>
      <c r="AI13" s="787"/>
      <c r="AK13" s="22"/>
      <c r="AL13" s="505" t="str">
        <f>'Cálculo-Instalação Colectiva-MP'!AK13</f>
        <v/>
      </c>
      <c r="AM13" s="1134" t="str">
        <f>'Cálculo-Instalação Colectiva-MP'!AL13</f>
        <v/>
      </c>
      <c r="AN13" s="502" t="str">
        <f>'Cálculo-Instalação Colectiva-MP'!AM13</f>
        <v/>
      </c>
      <c r="AO13" s="816" t="s">
        <v>131</v>
      </c>
      <c r="AP13" s="817">
        <v>8</v>
      </c>
      <c r="AY13" s="630">
        <f>IF('Cálculo-Instalação Colectiva-MP'!$K$18="x",AY14,AY15)</f>
        <v>23200</v>
      </c>
      <c r="AZ13" s="625" t="s">
        <v>333</v>
      </c>
      <c r="BA13" s="626"/>
      <c r="BB13" s="627"/>
      <c r="BC13" s="627"/>
      <c r="BT13" s="254" t="s">
        <v>256</v>
      </c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</row>
    <row r="14" spans="2:99" ht="15.9" thickTop="1" thickBot="1" x14ac:dyDescent="0.45">
      <c r="B14" s="363"/>
      <c r="C14" s="679" t="s">
        <v>390</v>
      </c>
      <c r="D14" s="663"/>
      <c r="E14" s="663"/>
      <c r="F14" s="663"/>
      <c r="G14" s="674" t="s">
        <v>359</v>
      </c>
      <c r="H14" s="669" t="str">
        <f>IF($K$15="x","kPa","mbar")</f>
        <v>mbar</v>
      </c>
      <c r="I14" s="26"/>
      <c r="J14" s="26"/>
      <c r="K14" s="26"/>
      <c r="L14" s="26"/>
      <c r="M14" s="170" t="str">
        <f>IF('Cálculo-Instalação Colectiva-MP'!K14="","",'Cálculo-Instalação Colectiva-MP'!K14)</f>
        <v/>
      </c>
      <c r="N14" s="170">
        <f>IF('Cálculo-Instalação Colectiva-MP'!L14="","",'Cálculo-Instalação Colectiva-MP'!L14)</f>
        <v>1013.25</v>
      </c>
      <c r="O14" s="819" t="str">
        <f>IF('Cálculo-Instalação Colectiva-MP'!M14="","",'Cálculo-Instalação Colectiva-MP'!M14)</f>
        <v>Ao nível do mar (cond. standard)</v>
      </c>
      <c r="P14" s="663"/>
      <c r="Q14" s="663"/>
      <c r="U14" s="25"/>
      <c r="V14" s="810"/>
      <c r="W14" s="791"/>
      <c r="X14" s="26"/>
      <c r="Y14" s="802"/>
      <c r="Z14" s="803"/>
      <c r="AA14" s="804"/>
      <c r="AB14" s="805" t="s">
        <v>300</v>
      </c>
      <c r="AC14" s="803"/>
      <c r="AD14" s="645" t="s">
        <v>369</v>
      </c>
      <c r="AE14" s="84"/>
      <c r="AF14" s="83"/>
      <c r="AG14" s="806"/>
      <c r="AH14" s="806"/>
      <c r="AI14" s="806"/>
      <c r="AK14" s="22"/>
      <c r="AL14" s="645" t="s">
        <v>300</v>
      </c>
      <c r="AM14" s="803"/>
      <c r="AN14" s="645" t="s">
        <v>369</v>
      </c>
      <c r="AO14" s="816" t="s">
        <v>132</v>
      </c>
      <c r="AP14" s="817">
        <v>9</v>
      </c>
      <c r="AY14" s="623">
        <v>22750</v>
      </c>
      <c r="AZ14" s="620" t="s">
        <v>334</v>
      </c>
      <c r="BA14" s="621"/>
      <c r="BB14" s="622"/>
      <c r="BC14" s="622"/>
      <c r="BT14" s="256"/>
    </row>
    <row r="15" spans="2:99" ht="16.5" customHeight="1" thickTop="1" thickBot="1" x14ac:dyDescent="0.35">
      <c r="B15" s="363"/>
      <c r="G15" s="823"/>
      <c r="H15" s="824" t="str">
        <f>IF(OR($M$15="x",$M$15="sim",$M$15="s",$M$15="ok"),"Foi especificado o kPa como unidade de pressão","")</f>
        <v/>
      </c>
      <c r="K15" s="85"/>
      <c r="L15" s="33"/>
      <c r="M15" s="796" t="str">
        <f>IF('Cálculo-Instalação Colectiva-MP'!K17="","",'Cálculo-Instalação Colectiva-MP'!K17)</f>
        <v/>
      </c>
      <c r="N15" s="822" t="str">
        <f>IF('Cálculo-Instalação Colectiva-MP'!L17="","",'Cálculo-Instalação Colectiva-MP'!L17)</f>
        <v/>
      </c>
      <c r="O15" s="680"/>
      <c r="P15" s="680"/>
      <c r="Q15" s="680"/>
      <c r="U15" s="21"/>
      <c r="V15" s="810"/>
      <c r="W15" s="21"/>
      <c r="X15" s="30"/>
      <c r="Z15" s="31"/>
      <c r="AA15" s="700" t="s">
        <v>374</v>
      </c>
      <c r="AB15" s="781">
        <f>IF('Cálculo-Instalação Colectiva-MP'!AA15="","",'Cálculo-Instalação Colectiva-MP'!AA15)</f>
        <v>0</v>
      </c>
      <c r="AD15" s="776">
        <f>IF('Cálculo-Instalação Colectiva-MP'!AC15="","",'Cálculo-Instalação Colectiva-MP'!AC15)</f>
        <v>0</v>
      </c>
      <c r="AE15" s="808"/>
      <c r="AF15" s="27"/>
      <c r="AG15" s="773"/>
      <c r="AH15" s="773"/>
      <c r="AI15" s="700" t="s">
        <v>375</v>
      </c>
      <c r="AL15" s="776">
        <f>IF('Cálculo-Instalação Colectiva-MP'!AK15="","",'Cálculo-Instalação Colectiva-MP'!AK15)</f>
        <v>0</v>
      </c>
      <c r="AN15" s="776">
        <f>IF('Cálculo-Instalação Colectiva-MP'!AM15="","",'Cálculo-Instalação Colectiva-MP'!AM15)</f>
        <v>0</v>
      </c>
      <c r="AO15" s="816" t="s">
        <v>133</v>
      </c>
      <c r="AP15" s="817">
        <v>10</v>
      </c>
      <c r="AY15" s="623">
        <v>23200</v>
      </c>
      <c r="AZ15" s="620" t="s">
        <v>335</v>
      </c>
      <c r="BA15" s="621"/>
      <c r="BB15" s="622"/>
      <c r="BC15" s="622"/>
      <c r="BT15" s="256"/>
    </row>
    <row r="16" spans="2:99" ht="15.75" customHeight="1" thickTop="1" thickBot="1" x14ac:dyDescent="0.35">
      <c r="B16" s="363"/>
      <c r="C16" s="663"/>
      <c r="D16" s="663"/>
      <c r="E16" s="663"/>
      <c r="F16" s="663"/>
      <c r="G16" s="663"/>
      <c r="H16" s="825" t="str">
        <f>IF(OR($M$16="x",$M$16="sim",$M$16="s",$M$16="ok"),"Foi especificado o uso do formulário APTA","")</f>
        <v/>
      </c>
      <c r="I16" s="86"/>
      <c r="J16" s="86"/>
      <c r="K16" s="86"/>
      <c r="L16" s="32"/>
      <c r="M16" s="796" t="str">
        <f>IF('Cálculo-Instalação Colectiva-MP'!K18="","",'Cálculo-Instalação Colectiva-MP'!K18)</f>
        <v/>
      </c>
      <c r="N16" s="819" t="str">
        <f>IF('Cálculo-Instalação Colectiva-MP'!L18="","",'Cálculo-Instalação Colectiva-MP'!L18)</f>
        <v/>
      </c>
      <c r="O16" s="663"/>
      <c r="P16" s="663"/>
      <c r="Q16" s="663"/>
      <c r="T16" s="913" t="str">
        <f>IF(AND($BI$25="",$BI$46=""),"","Atenção: o diâmetro do troço assinalado a vermelho tem de ser superior ou igual ao do troço a jusante.")</f>
        <v/>
      </c>
      <c r="U16" s="32"/>
      <c r="V16" s="775"/>
      <c r="W16" s="32"/>
      <c r="AP16" s="84"/>
      <c r="BT16" s="256"/>
      <c r="BW16" s="245">
        <f>IF(MAX(BW23:CF23)=MIN(BW23:CF23),$CF$16,IF(OR($CC16="erro",$CC17="erro",$CC18="erro"),"",$BX$16))</f>
        <v>0</v>
      </c>
      <c r="BX16" s="262" t="str">
        <f>IF(BY16&lt;&gt;"",BY16,IF(BY17&lt;&gt;"",BY17,IF(BY18&lt;&gt;"",BY18,"")))</f>
        <v/>
      </c>
      <c r="BY16" s="244" t="str">
        <f>IF(BZ16&lt;&gt;"",BZ16,IF(CA16&lt;&gt;"",CA16,IF(CB16&lt;&gt;"",CB16,"")))</f>
        <v/>
      </c>
      <c r="BZ16" s="243" t="str">
        <f>IF(BW20&lt;&gt;"",BW20,IF(BX20&lt;&gt;"",BX20,IF(BY20&lt;&gt;"",BY20,IF(BZ20&lt;&gt;"",BZ20,IF(CA20&lt;&gt;"",CA20,IF(CB20&lt;&gt;"",CB20,IF(CC20&lt;&gt;"",CC20,"")))))))</f>
        <v/>
      </c>
      <c r="CA16" s="243" t="str">
        <f>IF(CD20&lt;&gt;"",CD20,IF(CE20&lt;&gt;"",CE20,IF(CF20&lt;&gt;"",CF20,"")))</f>
        <v/>
      </c>
      <c r="CB16" s="243"/>
      <c r="CC16" s="261" t="str">
        <f>IF($BX$16=$E26,"erro",IF($BX$16=$E27,"erro",IF($BX$16=$E28,"erro",IF($BX$16=$E29,"erro",IF($BX$16=$E30,"erro",IF($BX$16=$E31,"erro",IF($BX$16=$E32,"erro","")))))))</f>
        <v>erro</v>
      </c>
      <c r="CE16" s="340">
        <f>IF($BX$16=$E26,$D26,IF($BX$16=$E27,$D27,IF($BX$16=$E28,$D28,IF($BX$16=$E29,$D29,IF($BX$16=$E30,$D30,IF($BX$16=$E31,$D31,IF($BX$16=$E32,$D32,"")))))))</f>
        <v>0</v>
      </c>
      <c r="CF16" s="340">
        <f>IF(CE16&lt;&gt;"",CE16,IF(CE17&lt;&gt;"",CE17,IF(CE18&lt;&gt;"",CE18,"")))</f>
        <v>0</v>
      </c>
    </row>
    <row r="17" spans="1:190" ht="2.25" customHeight="1" thickTop="1" thickBot="1" x14ac:dyDescent="0.35">
      <c r="B17" s="363"/>
      <c r="C17" s="650"/>
      <c r="D17" s="818"/>
      <c r="E17" s="818"/>
      <c r="P17" s="32"/>
      <c r="U17" s="156"/>
      <c r="W17" s="572"/>
      <c r="X17" s="572"/>
      <c r="AF17" s="161"/>
      <c r="AP17" s="161"/>
      <c r="BT17" s="256"/>
      <c r="BY17" s="244" t="str">
        <f>IF(BZ17&lt;&gt;"",BZ17,IF(CA17&lt;&gt;"",CA17,IF(CB17&lt;&gt;"",CB17,"")))</f>
        <v/>
      </c>
      <c r="BZ17" s="243" t="str">
        <f>IF(BW21&lt;&gt;"",BW21,IF(BX21&lt;&gt;"",BX21,IF(BY21&lt;&gt;"",BY21,IF(BZ21&lt;&gt;"",BZ21,IF(CA21&lt;&gt;"",CA21,IF(CB21&lt;&gt;"",CB21,IF(CC21&lt;&gt;"",CC21,"")))))))</f>
        <v/>
      </c>
      <c r="CA17" s="243" t="str">
        <f>IF(CD21&lt;&gt;"",CD21,IF(CE21&lt;&gt;"",CE21,IF(CF21&lt;&gt;"",CF21,"")))</f>
        <v/>
      </c>
      <c r="CB17" s="243"/>
      <c r="CC17" s="261" t="str">
        <f>IF($BX$16=$E33,"erro",IF($BX$16=$E34,"erro",IF($BX$16=$E35,"erro","")))</f>
        <v>erro</v>
      </c>
      <c r="CE17" s="340">
        <f>IF($BX$16=$E33,$D33,IF($BX$16=$E34,$D34,IF($BX$16=$E35,$D35,"")))</f>
        <v>0</v>
      </c>
    </row>
    <row r="18" spans="1:190" ht="2.25" customHeight="1" thickTop="1" thickBot="1" x14ac:dyDescent="0.35">
      <c r="B18" s="362"/>
      <c r="C18" s="31"/>
      <c r="D18" s="32"/>
      <c r="E18" s="32"/>
      <c r="F18" s="32"/>
      <c r="O18" s="64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86"/>
      <c r="AD18" s="86"/>
      <c r="AE18" s="86"/>
      <c r="AF18" s="86"/>
      <c r="AG18" s="86"/>
      <c r="AH18" s="86"/>
      <c r="AI18" s="86"/>
      <c r="AJ18" s="86"/>
      <c r="AK18" s="86"/>
      <c r="AL18" s="32"/>
      <c r="AM18" s="86"/>
      <c r="AN18" s="32"/>
      <c r="AO18" s="15"/>
      <c r="BT18" s="256"/>
      <c r="BY18" s="244" t="str">
        <f>IF(BZ18&lt;&gt;"",BZ18,IF(CA18&lt;&gt;"",CA18,IF(CB18&lt;&gt;"",CB18,"")))</f>
        <v/>
      </c>
      <c r="BZ18" s="243" t="str">
        <f>IF(BW22&lt;&gt;"",BW22,IF(BX22&lt;&gt;"",BX22,IF(BY22&lt;&gt;"",BY22,IF(BZ22&lt;&gt;"",BZ22,IF(CA22&lt;&gt;"",CA22,IF(CB22&lt;&gt;"",CB22,IF(CC22&lt;&gt;"",CC22,"")))))))</f>
        <v/>
      </c>
      <c r="CA18" s="243" t="str">
        <f>IF(CD22&lt;&gt;"",CD22,IF(CE22&lt;&gt;"",CE22,IF(CF22&lt;&gt;"",CF22,"")))</f>
        <v/>
      </c>
      <c r="CB18" s="243"/>
      <c r="CC18" s="261"/>
      <c r="CE18" s="340"/>
    </row>
    <row r="19" spans="1:190" ht="1.5" customHeight="1" thickTop="1" thickBot="1" x14ac:dyDescent="0.35">
      <c r="B19" s="364"/>
      <c r="C19" s="509"/>
      <c r="D19" s="510"/>
      <c r="N19" s="792"/>
      <c r="AO19" s="15"/>
      <c r="BT19" s="257"/>
    </row>
    <row r="20" spans="1:190" s="34" customFormat="1" ht="10.5" customHeight="1" thickTop="1" thickBot="1" x14ac:dyDescent="0.3">
      <c r="A20" s="366"/>
      <c r="B20" s="365"/>
      <c r="C20" s="367">
        <v>1</v>
      </c>
      <c r="D20" s="367">
        <v>2</v>
      </c>
      <c r="E20" s="367">
        <v>3</v>
      </c>
      <c r="F20" s="367">
        <v>4</v>
      </c>
      <c r="G20" s="367">
        <v>5</v>
      </c>
      <c r="H20" s="367">
        <v>6</v>
      </c>
      <c r="I20" s="367"/>
      <c r="J20" s="367"/>
      <c r="K20" s="367" t="s">
        <v>205</v>
      </c>
      <c r="L20" s="367" t="s">
        <v>206</v>
      </c>
      <c r="M20" s="367">
        <v>7</v>
      </c>
      <c r="N20" s="367">
        <v>8</v>
      </c>
      <c r="O20" s="367">
        <v>9</v>
      </c>
      <c r="P20" s="367">
        <v>10</v>
      </c>
      <c r="Q20" s="367">
        <v>11</v>
      </c>
      <c r="R20" s="367">
        <v>12</v>
      </c>
      <c r="S20" s="367">
        <v>10</v>
      </c>
      <c r="T20" s="367">
        <v>13</v>
      </c>
      <c r="U20" s="367"/>
      <c r="V20" s="367">
        <v>14</v>
      </c>
      <c r="W20" s="367"/>
      <c r="X20" s="367"/>
      <c r="Y20" s="367">
        <v>15</v>
      </c>
      <c r="Z20" s="367">
        <v>16</v>
      </c>
      <c r="AA20" s="367">
        <v>17</v>
      </c>
      <c r="AB20" s="367">
        <v>18</v>
      </c>
      <c r="AC20" s="367">
        <v>19</v>
      </c>
      <c r="AD20" s="367">
        <v>20</v>
      </c>
      <c r="AE20" s="367">
        <v>21</v>
      </c>
      <c r="AF20" s="367">
        <v>22</v>
      </c>
      <c r="AG20" s="367">
        <v>23</v>
      </c>
      <c r="AH20" s="1180">
        <v>24</v>
      </c>
      <c r="AI20" s="1181"/>
      <c r="AJ20" s="367"/>
      <c r="AK20" s="367"/>
      <c r="AL20" s="367">
        <v>25</v>
      </c>
      <c r="AM20" s="1180">
        <v>26</v>
      </c>
      <c r="AN20" s="1204"/>
      <c r="AO20" s="15"/>
      <c r="AY20" s="629">
        <f>'Cálculo-Instalação Colectiva-MP'!AW16</f>
        <v>0.1293</v>
      </c>
      <c r="AZ20" s="625" t="s">
        <v>330</v>
      </c>
      <c r="BA20" s="626"/>
      <c r="BB20" s="627"/>
      <c r="BC20" s="627"/>
      <c r="BD20" s="627"/>
      <c r="BE20" s="627"/>
      <c r="BF20" s="627"/>
      <c r="BT20" s="258"/>
      <c r="BW20" s="243" t="str">
        <f>IF(AND(BW$23=$BV$23,BW$26&lt;&gt;""),BW$26,IF(AND(BW$23=$BV$23,BW$27&lt;&gt;""),BW$27,IF(AND(BW$23=$BV$23,BW$28&lt;&gt;""),BW$28,IF(AND(BW$23=$BV$23,BW$29&lt;&gt;""),BW$29,IF(AND(BW$23=$BV$23,BW$30&lt;&gt;""),BW$30,IF(AND(BW$23=$BV$23,BW$31&lt;&gt;""),BW$31,IF(AND(BW$23=$BV$23,BW$32&lt;&gt;""),BW$32,"")))))))</f>
        <v/>
      </c>
      <c r="BX20" s="243" t="str">
        <f t="shared" ref="BX20:CF20" si="0">IF(AND(BX$23=$BV$23,BX$26&lt;&gt;""),BX$26,IF(AND(BX$23=$BV$23,BX$27&lt;&gt;""),BX$27,IF(AND(BX$23=$BV$23,BX$28&lt;&gt;""),BX$28,IF(AND(BX$23=$BV$23,BX$29&lt;&gt;""),BX$29,IF(AND(BX$23=$BV$23,BX$30&lt;&gt;""),BX$30,IF(AND(BX$23=$BV$23,BX$31&lt;&gt;""),BX$31,IF(AND(BX$23=$BV$23,BX$32&lt;&gt;""),BX$32,"")))))))</f>
        <v/>
      </c>
      <c r="BY20" s="243" t="str">
        <f t="shared" si="0"/>
        <v/>
      </c>
      <c r="BZ20" s="243" t="str">
        <f t="shared" si="0"/>
        <v/>
      </c>
      <c r="CA20" s="243" t="str">
        <f t="shared" si="0"/>
        <v/>
      </c>
      <c r="CB20" s="243" t="str">
        <f t="shared" si="0"/>
        <v/>
      </c>
      <c r="CC20" s="243" t="str">
        <f t="shared" si="0"/>
        <v/>
      </c>
      <c r="CD20" s="243" t="str">
        <f t="shared" si="0"/>
        <v/>
      </c>
      <c r="CE20" s="243" t="str">
        <f t="shared" si="0"/>
        <v/>
      </c>
      <c r="CF20" s="243" t="str">
        <f t="shared" si="0"/>
        <v/>
      </c>
    </row>
    <row r="21" spans="1:190" s="36" customFormat="1" ht="18" customHeight="1" thickTop="1" thickBot="1" x14ac:dyDescent="0.35">
      <c r="A21" s="34"/>
      <c r="B21" s="1018"/>
      <c r="C21" s="1019"/>
      <c r="D21" s="1200" t="s">
        <v>115</v>
      </c>
      <c r="E21" s="1200"/>
      <c r="F21" s="1019"/>
      <c r="G21" s="1200" t="s">
        <v>346</v>
      </c>
      <c r="H21" s="1201"/>
      <c r="I21" s="1020"/>
      <c r="J21" s="1020"/>
      <c r="K21" s="1020"/>
      <c r="L21" s="1020"/>
      <c r="M21" s="1019" t="s">
        <v>93</v>
      </c>
      <c r="N21" s="1019" t="s">
        <v>43</v>
      </c>
      <c r="O21" s="1019" t="s">
        <v>342</v>
      </c>
      <c r="P21" s="1019" t="s">
        <v>462</v>
      </c>
      <c r="Q21" s="1019" t="s">
        <v>92</v>
      </c>
      <c r="R21" s="1019"/>
      <c r="S21" s="1021" t="s">
        <v>116</v>
      </c>
      <c r="T21" s="1019"/>
      <c r="U21" s="1019"/>
      <c r="V21" s="1019" t="s">
        <v>100</v>
      </c>
      <c r="W21" s="1019"/>
      <c r="X21" s="1019"/>
      <c r="Y21" s="1200" t="s">
        <v>404</v>
      </c>
      <c r="Z21" s="1200"/>
      <c r="AA21" s="1200"/>
      <c r="AB21" s="1019" t="s">
        <v>117</v>
      </c>
      <c r="AC21" s="1019" t="s">
        <v>118</v>
      </c>
      <c r="AD21" s="1019" t="s">
        <v>103</v>
      </c>
      <c r="AE21" s="1019" t="s">
        <v>121</v>
      </c>
      <c r="AF21" s="1019" t="s">
        <v>104</v>
      </c>
      <c r="AG21" s="1019" t="s">
        <v>119</v>
      </c>
      <c r="AH21" s="1200" t="s">
        <v>120</v>
      </c>
      <c r="AI21" s="1202"/>
      <c r="AJ21" s="1019"/>
      <c r="AK21" s="1019"/>
      <c r="AL21" s="1019" t="s">
        <v>107</v>
      </c>
      <c r="AM21" s="1200" t="s">
        <v>122</v>
      </c>
      <c r="AN21" s="1209"/>
      <c r="AO21" s="35"/>
      <c r="AY21" s="628">
        <f>'Cálculo-Instalação Colectiva-MP'!AW17</f>
        <v>0.1202</v>
      </c>
      <c r="AZ21" s="620" t="s">
        <v>331</v>
      </c>
      <c r="BA21" s="621"/>
      <c r="BB21" s="622"/>
      <c r="BC21" s="622"/>
      <c r="BD21" s="622"/>
      <c r="BE21" s="622"/>
      <c r="BF21" s="622"/>
      <c r="BT21" s="259"/>
      <c r="BW21" s="243" t="str">
        <f>IF(AND(BW$23=$BV$23,BW$33&lt;&gt;""),BW$33,IF(AND(BW$23=$BV$23,BW$34&lt;&gt;""),BW$34,IF(AND(BW$23=$BV$23,BW$35&lt;&gt;""),BW$35,"")))</f>
        <v/>
      </c>
      <c r="BX21" s="243" t="str">
        <f t="shared" ref="BX21:CF21" si="1">IF(AND(BX$23=$BV$23,BX$33&lt;&gt;""),BX$33,IF(AND(BX$23=$BV$23,BX$34&lt;&gt;""),BX$34,IF(AND(BX$23=$BV$23,BX$35&lt;&gt;""),BX$35,"")))</f>
        <v/>
      </c>
      <c r="BY21" s="243" t="str">
        <f t="shared" si="1"/>
        <v/>
      </c>
      <c r="BZ21" s="243" t="str">
        <f t="shared" si="1"/>
        <v/>
      </c>
      <c r="CA21" s="243" t="str">
        <f t="shared" si="1"/>
        <v/>
      </c>
      <c r="CB21" s="243" t="str">
        <f t="shared" si="1"/>
        <v/>
      </c>
      <c r="CC21" s="243" t="str">
        <f t="shared" si="1"/>
        <v/>
      </c>
      <c r="CD21" s="243" t="str">
        <f t="shared" si="1"/>
        <v/>
      </c>
      <c r="CE21" s="243" t="str">
        <f t="shared" si="1"/>
        <v/>
      </c>
      <c r="CF21" s="243" t="str">
        <f t="shared" si="1"/>
        <v/>
      </c>
    </row>
    <row r="22" spans="1:190" s="16" customFormat="1" ht="18" customHeight="1" thickTop="1" thickBot="1" x14ac:dyDescent="0.35">
      <c r="C22" s="1177" t="s">
        <v>75</v>
      </c>
      <c r="D22" s="1178"/>
      <c r="E22" s="1179"/>
      <c r="F22" s="1214" t="s">
        <v>515</v>
      </c>
      <c r="G22" s="1215"/>
      <c r="H22" s="1216"/>
      <c r="I22" s="1057"/>
      <c r="J22" s="1057"/>
      <c r="K22" s="1057"/>
      <c r="L22" s="1058"/>
      <c r="M22" s="1141" t="str">
        <f>IF(OR(A25&gt;=1,A46&gt;=1),"Erro: L não pode ser inferior a h","Comprimentos dos troços")</f>
        <v>Comprimentos dos troços</v>
      </c>
      <c r="N22" s="1143"/>
      <c r="O22" s="1143"/>
      <c r="P22" s="1182"/>
      <c r="Q22" s="1024" t="s">
        <v>42</v>
      </c>
      <c r="R22" s="1024" t="s">
        <v>68</v>
      </c>
      <c r="S22" s="1022" t="s">
        <v>72</v>
      </c>
      <c r="T22" s="1142" t="s">
        <v>72</v>
      </c>
      <c r="U22" s="1186"/>
      <c r="V22" s="1186"/>
      <c r="W22" s="1186"/>
      <c r="X22" s="1186"/>
      <c r="Y22" s="1186"/>
      <c r="Z22" s="1186"/>
      <c r="AA22" s="1187"/>
      <c r="AB22" s="1141" t="s">
        <v>77</v>
      </c>
      <c r="AC22" s="1142"/>
      <c r="AD22" s="1142"/>
      <c r="AE22" s="1183"/>
      <c r="AF22" s="1141" t="s">
        <v>215</v>
      </c>
      <c r="AG22" s="1184"/>
      <c r="AH22" s="1184"/>
      <c r="AI22" s="1185"/>
      <c r="AJ22" s="1141"/>
      <c r="AK22" s="1205"/>
      <c r="AL22" s="1141" t="s">
        <v>50</v>
      </c>
      <c r="AM22" s="1142"/>
      <c r="AN22" s="1205"/>
      <c r="AO22" s="17"/>
      <c r="AY22" s="628">
        <f>'Cálculo-Instalação Colectiva-MP'!AW18</f>
        <v>0.1293</v>
      </c>
      <c r="AZ22" s="620" t="s">
        <v>332</v>
      </c>
      <c r="BA22" s="621"/>
      <c r="BB22" s="622"/>
      <c r="BC22" s="622"/>
      <c r="BD22" s="622"/>
      <c r="BE22" s="622"/>
      <c r="BF22" s="622"/>
      <c r="BT22" s="260"/>
      <c r="BW22" s="243"/>
      <c r="BX22" s="243"/>
      <c r="BY22" s="243"/>
      <c r="BZ22" s="243"/>
      <c r="CA22" s="243"/>
      <c r="CB22" s="243"/>
      <c r="CC22" s="243"/>
      <c r="CD22" s="243"/>
      <c r="CE22" s="243"/>
      <c r="CF22" s="243"/>
    </row>
    <row r="23" spans="1:190" s="16" customFormat="1" ht="13.3" thickTop="1" thickBot="1" x14ac:dyDescent="0.3">
      <c r="C23" s="1191" t="s">
        <v>76</v>
      </c>
      <c r="D23" s="1192"/>
      <c r="E23" s="1193"/>
      <c r="F23" s="1039" t="s">
        <v>124</v>
      </c>
      <c r="G23" s="1145" t="s">
        <v>345</v>
      </c>
      <c r="H23" s="1213"/>
      <c r="I23" s="1059"/>
      <c r="J23" s="1059"/>
      <c r="K23" s="1059"/>
      <c r="L23" s="1060"/>
      <c r="M23" s="1039" t="s">
        <v>38</v>
      </c>
      <c r="N23" s="1061" t="s">
        <v>52</v>
      </c>
      <c r="O23" s="1029" t="s">
        <v>340</v>
      </c>
      <c r="P23" s="1030" t="s">
        <v>39</v>
      </c>
      <c r="Q23" s="1033" t="s">
        <v>51</v>
      </c>
      <c r="R23" s="1033" t="s">
        <v>74</v>
      </c>
      <c r="S23" s="1034" t="s">
        <v>59</v>
      </c>
      <c r="T23" s="1035" t="s">
        <v>142</v>
      </c>
      <c r="U23" s="1036"/>
      <c r="V23" s="1037" t="s">
        <v>23</v>
      </c>
      <c r="W23" s="1035"/>
      <c r="X23" s="1038"/>
      <c r="Y23" s="1037" t="s">
        <v>57</v>
      </c>
      <c r="Z23" s="1194" t="s">
        <v>58</v>
      </c>
      <c r="AA23" s="1195"/>
      <c r="AB23" s="1039" t="s">
        <v>40</v>
      </c>
      <c r="AC23" s="1030" t="s">
        <v>41</v>
      </c>
      <c r="AD23" s="1119" t="s">
        <v>47</v>
      </c>
      <c r="AE23" s="1033" t="s">
        <v>301</v>
      </c>
      <c r="AF23" s="1039" t="s">
        <v>46</v>
      </c>
      <c r="AG23" s="1037" t="s">
        <v>45</v>
      </c>
      <c r="AH23" s="1156" t="s">
        <v>48</v>
      </c>
      <c r="AI23" s="1157"/>
      <c r="AJ23" s="1026"/>
      <c r="AK23" s="1029"/>
      <c r="AL23" s="1026" t="s">
        <v>46</v>
      </c>
      <c r="AM23" s="1156" t="s">
        <v>48</v>
      </c>
      <c r="AN23" s="1157"/>
      <c r="AO23" s="17"/>
      <c r="AW23" s="908" t="s">
        <v>497</v>
      </c>
      <c r="AY23" s="15"/>
      <c r="BT23" s="252"/>
      <c r="BU23" s="253" t="s">
        <v>242</v>
      </c>
      <c r="BV23" s="251">
        <f>MIN(BW23:CF23)</f>
        <v>0</v>
      </c>
      <c r="BW23" s="242" t="str">
        <f>IF(10-COUNTBLANK(BW26:BW35)=0,"",10-COUNTBLANK(BW26:BW35))</f>
        <v/>
      </c>
      <c r="BX23" s="242" t="str">
        <f>IF(10-COUNTBLANK(BX26:BX35)=0,"",10-COUNTBLANK(BX26:BX35))</f>
        <v/>
      </c>
      <c r="BY23" s="242" t="str">
        <f t="shared" ref="BY23:CF23" si="2">IF(10-COUNTBLANK(BY26:BY35)=0,"",10-COUNTBLANK(BY26:BY35))</f>
        <v/>
      </c>
      <c r="BZ23" s="242" t="str">
        <f t="shared" si="2"/>
        <v/>
      </c>
      <c r="CA23" s="242" t="str">
        <f t="shared" si="2"/>
        <v/>
      </c>
      <c r="CB23" s="242" t="str">
        <f t="shared" si="2"/>
        <v/>
      </c>
      <c r="CC23" s="242" t="str">
        <f t="shared" si="2"/>
        <v/>
      </c>
      <c r="CD23" s="242" t="str">
        <f t="shared" si="2"/>
        <v/>
      </c>
      <c r="CE23" s="242" t="str">
        <f t="shared" si="2"/>
        <v/>
      </c>
      <c r="CF23" s="242" t="str">
        <f t="shared" si="2"/>
        <v/>
      </c>
      <c r="CV23" s="199" t="s">
        <v>226</v>
      </c>
      <c r="CW23" s="199"/>
      <c r="CX23" s="199"/>
      <c r="CY23" s="199"/>
      <c r="CZ23" s="199"/>
      <c r="DA23" s="199"/>
      <c r="DB23" s="200"/>
      <c r="DC23" s="200"/>
    </row>
    <row r="24" spans="1:190" ht="18.45" thickTop="1" thickBot="1" x14ac:dyDescent="0.35">
      <c r="C24" s="743" t="s">
        <v>82</v>
      </c>
      <c r="D24" s="714" t="s">
        <v>63</v>
      </c>
      <c r="E24" s="714" t="s">
        <v>62</v>
      </c>
      <c r="F24" s="744" t="s">
        <v>125</v>
      </c>
      <c r="G24" s="1217" t="s">
        <v>203</v>
      </c>
      <c r="H24" s="1218"/>
      <c r="I24" s="746"/>
      <c r="J24" s="746"/>
      <c r="K24" s="746"/>
      <c r="L24" s="745"/>
      <c r="M24" s="711" t="s">
        <v>376</v>
      </c>
      <c r="N24" s="747" t="s">
        <v>377</v>
      </c>
      <c r="O24" s="720" t="s">
        <v>378</v>
      </c>
      <c r="P24" s="721" t="s">
        <v>379</v>
      </c>
      <c r="Q24" s="724" t="s">
        <v>380</v>
      </c>
      <c r="R24" s="725" t="s">
        <v>61</v>
      </c>
      <c r="S24" s="711" t="s">
        <v>381</v>
      </c>
      <c r="T24" s="699" t="s">
        <v>382</v>
      </c>
      <c r="U24" s="566" t="s">
        <v>302</v>
      </c>
      <c r="V24" s="721" t="s">
        <v>383</v>
      </c>
      <c r="W24" s="573" t="s">
        <v>304</v>
      </c>
      <c r="X24" s="574" t="s">
        <v>304</v>
      </c>
      <c r="Y24" s="721" t="s">
        <v>19</v>
      </c>
      <c r="Z24" s="1161" t="s">
        <v>386</v>
      </c>
      <c r="AA24" s="1169"/>
      <c r="AB24" s="711" t="s">
        <v>292</v>
      </c>
      <c r="AC24" s="721" t="s">
        <v>291</v>
      </c>
      <c r="AD24" s="1120" t="s">
        <v>290</v>
      </c>
      <c r="AE24" s="1122" t="s">
        <v>514</v>
      </c>
      <c r="AF24" s="748" t="s">
        <v>71</v>
      </c>
      <c r="AG24" s="749" t="s">
        <v>484</v>
      </c>
      <c r="AH24" s="728" t="s">
        <v>385</v>
      </c>
      <c r="AI24" s="750">
        <f>N11</f>
        <v>1.5</v>
      </c>
      <c r="AJ24" s="730"/>
      <c r="AK24" s="731"/>
      <c r="AL24" s="713" t="s">
        <v>187</v>
      </c>
      <c r="AM24" s="732" t="s">
        <v>337</v>
      </c>
      <c r="AN24" s="729">
        <f>N12</f>
        <v>10</v>
      </c>
      <c r="AO24" s="15"/>
      <c r="AR24" s="16"/>
      <c r="AS24" s="16"/>
      <c r="AT24" s="16"/>
      <c r="AU24" s="16"/>
      <c r="AV24" s="36" t="s">
        <v>513</v>
      </c>
      <c r="AW24" s="259" t="s">
        <v>498</v>
      </c>
      <c r="AX24" s="16"/>
      <c r="AY24" s="231" t="s">
        <v>239</v>
      </c>
      <c r="AZ24" s="246"/>
      <c r="BA24" s="246"/>
      <c r="BB24" s="247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231" t="s">
        <v>237</v>
      </c>
      <c r="BX24" s="232"/>
      <c r="BY24" s="232"/>
      <c r="BZ24" s="232"/>
      <c r="CA24" s="232"/>
      <c r="CB24" s="232"/>
      <c r="CC24" s="232"/>
      <c r="CD24" s="232"/>
      <c r="CE24" s="232"/>
      <c r="CF24" s="232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201" t="s">
        <v>227</v>
      </c>
      <c r="CW24" s="202"/>
      <c r="CX24" s="203"/>
      <c r="CY24" s="117" t="s">
        <v>138</v>
      </c>
      <c r="CZ24" s="118" t="s">
        <v>136</v>
      </c>
      <c r="DA24" s="119" t="s">
        <v>135</v>
      </c>
      <c r="DB24" s="118" t="s">
        <v>134</v>
      </c>
      <c r="DC24" s="114"/>
      <c r="DD24" s="114"/>
      <c r="DE24" s="114"/>
      <c r="DF24" s="120" t="s">
        <v>135</v>
      </c>
      <c r="DG24" s="121"/>
      <c r="DH24" s="114"/>
      <c r="DI24" s="79"/>
      <c r="DJ24" s="119" t="s">
        <v>134</v>
      </c>
      <c r="DK24" s="114"/>
      <c r="DL24" s="114"/>
      <c r="DM24" s="114"/>
      <c r="DN24" s="120" t="s">
        <v>135</v>
      </c>
      <c r="DO24" s="121"/>
      <c r="DP24" s="114"/>
      <c r="DQ24" s="79"/>
      <c r="DR24" s="119" t="s">
        <v>134</v>
      </c>
      <c r="DS24" s="114"/>
      <c r="DT24" s="114"/>
      <c r="DU24" s="114"/>
      <c r="DV24" s="120" t="s">
        <v>135</v>
      </c>
      <c r="DW24" s="121"/>
      <c r="DX24" s="114"/>
      <c r="DY24" s="79"/>
      <c r="DZ24" s="119" t="s">
        <v>134</v>
      </c>
      <c r="EA24" s="114"/>
      <c r="EB24" s="114"/>
      <c r="EC24" s="114"/>
      <c r="ED24" s="120" t="s">
        <v>135</v>
      </c>
      <c r="EE24" s="121"/>
      <c r="EF24" s="114"/>
      <c r="EG24" s="79"/>
      <c r="EH24" s="119" t="s">
        <v>134</v>
      </c>
      <c r="EI24" s="114"/>
      <c r="EJ24" s="114"/>
      <c r="EK24" s="114"/>
      <c r="EL24" s="120" t="s">
        <v>135</v>
      </c>
      <c r="EM24" s="121"/>
      <c r="EN24" s="114"/>
      <c r="EO24" s="79"/>
      <c r="EP24" s="119" t="s">
        <v>134</v>
      </c>
      <c r="EQ24" s="114"/>
      <c r="ER24" s="114"/>
      <c r="ES24" s="114"/>
      <c r="ET24" s="120" t="s">
        <v>135</v>
      </c>
      <c r="EU24" s="121"/>
      <c r="EV24" s="114"/>
      <c r="EW24" s="79"/>
      <c r="EX24" s="119" t="s">
        <v>134</v>
      </c>
      <c r="EY24" s="114"/>
      <c r="EZ24" s="114"/>
      <c r="FA24" s="114"/>
      <c r="FB24" s="120" t="s">
        <v>135</v>
      </c>
      <c r="FC24" s="121"/>
      <c r="FD24" s="114"/>
      <c r="FE24" s="79"/>
      <c r="FF24" s="119" t="s">
        <v>134</v>
      </c>
      <c r="FG24" s="114"/>
      <c r="FH24" s="114"/>
      <c r="FI24" s="114"/>
      <c r="FJ24" s="120" t="s">
        <v>135</v>
      </c>
      <c r="FK24" s="121"/>
      <c r="FL24" s="114"/>
      <c r="FM24" s="79"/>
      <c r="FN24" s="119" t="s">
        <v>134</v>
      </c>
      <c r="FO24" s="114"/>
      <c r="FP24" s="114"/>
      <c r="FQ24" s="114"/>
      <c r="FR24" s="120" t="s">
        <v>135</v>
      </c>
      <c r="FS24" s="121"/>
      <c r="FT24" s="114"/>
      <c r="FU24" s="79"/>
      <c r="FV24" s="119" t="s">
        <v>134</v>
      </c>
      <c r="FW24" s="114"/>
      <c r="FX24" s="114"/>
      <c r="FY24" s="114"/>
      <c r="FZ24" s="120" t="s">
        <v>135</v>
      </c>
      <c r="GA24" s="121"/>
      <c r="GB24" s="114"/>
      <c r="GC24" s="79"/>
      <c r="GD24" s="119" t="s">
        <v>134</v>
      </c>
      <c r="GE24" s="114"/>
      <c r="GF24" s="114"/>
      <c r="GG24" s="114"/>
      <c r="GH24" s="120" t="s">
        <v>135</v>
      </c>
    </row>
    <row r="25" spans="1:190" s="16" customFormat="1" ht="15" customHeight="1" thickTop="1" thickBot="1" x14ac:dyDescent="0.35">
      <c r="A25" s="902">
        <f>SUM(A26:A35)</f>
        <v>0</v>
      </c>
      <c r="C25" s="751" t="s">
        <v>44</v>
      </c>
      <c r="D25" s="716"/>
      <c r="E25" s="717"/>
      <c r="F25" s="415" t="s">
        <v>387</v>
      </c>
      <c r="G25" s="416" t="s">
        <v>397</v>
      </c>
      <c r="H25" s="752"/>
      <c r="I25" s="298"/>
      <c r="J25" s="299"/>
      <c r="K25" s="753" t="s">
        <v>164</v>
      </c>
      <c r="L25" s="741"/>
      <c r="M25" s="712" t="s">
        <v>27</v>
      </c>
      <c r="N25" s="735" t="s">
        <v>27</v>
      </c>
      <c r="O25" s="736" t="s">
        <v>27</v>
      </c>
      <c r="P25" s="737" t="s">
        <v>27</v>
      </c>
      <c r="Q25" s="374" t="s">
        <v>164</v>
      </c>
      <c r="R25" s="373"/>
      <c r="S25" s="712" t="s">
        <v>26</v>
      </c>
      <c r="T25" s="739" t="s">
        <v>26</v>
      </c>
      <c r="U25" s="567" t="s">
        <v>303</v>
      </c>
      <c r="V25" s="737" t="s">
        <v>26</v>
      </c>
      <c r="W25" s="575" t="s">
        <v>305</v>
      </c>
      <c r="X25" s="576" t="s">
        <v>306</v>
      </c>
      <c r="Y25" s="737" t="s">
        <v>26</v>
      </c>
      <c r="Z25" s="740" t="s">
        <v>336</v>
      </c>
      <c r="AA25" s="741" t="s">
        <v>243</v>
      </c>
      <c r="AB25" s="712" t="str">
        <f>IF('Cálculo-Instalação Colectiva-MP'!$K$17="x","kPa","mbar")</f>
        <v>mbar</v>
      </c>
      <c r="AC25" s="737" t="str">
        <f>IF('Cálculo-Instalação Colectiva-MP'!$K$17="x","kPa","mbar")</f>
        <v>mbar</v>
      </c>
      <c r="AD25" s="739" t="str">
        <f>IF('Cálculo-Instalação Colectiva-MP'!$K$17="x","kPa","mbar")</f>
        <v>mbar</v>
      </c>
      <c r="AE25" s="373" t="str">
        <f>IF('Cálculo-Instalação Colectiva-MP'!$K$17="x","kPa","mbar")</f>
        <v>mbar</v>
      </c>
      <c r="AF25" s="712" t="str">
        <f>IF('Cálculo-Instalação Colectiva-MP'!$K$17="x","kPa","mbar")</f>
        <v>mbar</v>
      </c>
      <c r="AG25" s="737" t="str">
        <f>IF('Cálculo-Instalação Colectiva-MP'!$K$17="x","kPa","mbar")</f>
        <v>mbar</v>
      </c>
      <c r="AH25" s="1167" t="str">
        <f>IF('Cálculo-Instalação Colectiva-MP'!$K$17="x","kPa","mbar")</f>
        <v>mbar</v>
      </c>
      <c r="AI25" s="1168"/>
      <c r="AJ25" s="742"/>
      <c r="AK25" s="736"/>
      <c r="AL25" s="742" t="s">
        <v>60</v>
      </c>
      <c r="AM25" s="1167" t="s">
        <v>60</v>
      </c>
      <c r="AN25" s="1168"/>
      <c r="AO25" s="17"/>
      <c r="AV25" s="1115">
        <f>SUM(AV26:AV35,AV47:AV56)</f>
        <v>0</v>
      </c>
      <c r="AW25" s="260" t="s">
        <v>499</v>
      </c>
      <c r="AY25" s="236" t="s">
        <v>51</v>
      </c>
      <c r="AZ25" s="240" t="s">
        <v>238</v>
      </c>
      <c r="BA25" s="238"/>
      <c r="BB25" s="239"/>
      <c r="BI25" s="915" t="str">
        <f>IF(MAX(BI26:BI35)&gt;0,MAX(BI26:BI35),"")</f>
        <v/>
      </c>
      <c r="BM25" s="237" t="s">
        <v>500</v>
      </c>
      <c r="BW25" s="234">
        <v>1</v>
      </c>
      <c r="BX25" s="234">
        <v>2</v>
      </c>
      <c r="BY25" s="234">
        <v>3</v>
      </c>
      <c r="BZ25" s="234">
        <v>4</v>
      </c>
      <c r="CA25" s="234">
        <v>5</v>
      </c>
      <c r="CB25" s="234">
        <v>6</v>
      </c>
      <c r="CC25" s="234">
        <v>7</v>
      </c>
      <c r="CD25" s="234">
        <v>8</v>
      </c>
      <c r="CE25" s="234">
        <v>9</v>
      </c>
      <c r="CF25" s="234">
        <v>10</v>
      </c>
      <c r="CQ25" s="153" t="s">
        <v>488</v>
      </c>
      <c r="CV25" s="204" t="s">
        <v>228</v>
      </c>
      <c r="CW25" s="205"/>
      <c r="CX25" s="206">
        <f>MAX(CX26:CX35)</f>
        <v>0</v>
      </c>
      <c r="CY25" s="87"/>
      <c r="CZ25" s="24"/>
      <c r="DA25" s="88" t="s">
        <v>137</v>
      </c>
      <c r="DB25" s="89"/>
      <c r="DC25" s="24"/>
      <c r="DD25" s="24"/>
      <c r="DE25" s="24"/>
      <c r="DF25" s="88" t="s">
        <v>137</v>
      </c>
      <c r="DG25" s="40"/>
      <c r="DH25" s="24"/>
      <c r="DI25" s="24"/>
      <c r="DJ25" s="24"/>
      <c r="DK25" s="24"/>
      <c r="DL25" s="24"/>
      <c r="DM25" s="24"/>
      <c r="DN25" s="90" t="s">
        <v>137</v>
      </c>
      <c r="DO25" s="40"/>
      <c r="DP25" s="24"/>
      <c r="DQ25" s="24"/>
      <c r="DR25" s="24"/>
      <c r="DS25" s="24"/>
      <c r="DT25" s="24"/>
      <c r="DU25" s="24"/>
      <c r="DV25" s="90" t="s">
        <v>137</v>
      </c>
      <c r="DW25" s="40"/>
      <c r="DX25" s="24"/>
      <c r="DY25" s="24"/>
      <c r="DZ25" s="24"/>
      <c r="EA25" s="24"/>
      <c r="EB25" s="24"/>
      <c r="EC25" s="24"/>
      <c r="ED25" s="90" t="s">
        <v>137</v>
      </c>
      <c r="EE25" s="40"/>
      <c r="EF25" s="24"/>
      <c r="EG25" s="24"/>
      <c r="EH25" s="24"/>
      <c r="EI25" s="24"/>
      <c r="EJ25" s="24"/>
      <c r="EK25" s="24"/>
      <c r="EL25" s="90" t="s">
        <v>137</v>
      </c>
      <c r="EM25" s="40"/>
      <c r="EN25" s="24"/>
      <c r="EO25" s="24"/>
      <c r="EP25" s="24"/>
      <c r="EQ25" s="24"/>
      <c r="ER25" s="24"/>
      <c r="ES25" s="24"/>
      <c r="ET25" s="90" t="s">
        <v>137</v>
      </c>
      <c r="EU25" s="40"/>
      <c r="EV25" s="24"/>
      <c r="EW25" s="24"/>
      <c r="EX25" s="24"/>
      <c r="EY25" s="24"/>
      <c r="EZ25" s="24"/>
      <c r="FA25" s="24"/>
      <c r="FB25" s="90" t="s">
        <v>137</v>
      </c>
      <c r="FC25" s="40"/>
      <c r="FD25" s="24"/>
      <c r="FE25" s="24"/>
      <c r="FF25" s="24"/>
      <c r="FG25" s="24"/>
      <c r="FH25" s="24"/>
      <c r="FI25" s="24"/>
      <c r="FJ25" s="90" t="s">
        <v>137</v>
      </c>
      <c r="FK25" s="40"/>
      <c r="FL25" s="24"/>
      <c r="FM25" s="24"/>
      <c r="FN25" s="24"/>
      <c r="FO25" s="24"/>
      <c r="FP25" s="24"/>
      <c r="FQ25" s="24"/>
      <c r="FR25" s="90" t="s">
        <v>137</v>
      </c>
      <c r="FS25" s="40"/>
      <c r="FT25" s="24"/>
      <c r="FU25" s="24"/>
      <c r="FV25" s="24"/>
      <c r="FW25" s="24"/>
      <c r="FX25" s="24"/>
      <c r="FY25" s="24"/>
      <c r="FZ25" s="90" t="s">
        <v>137</v>
      </c>
      <c r="GA25" s="40"/>
      <c r="GB25" s="24"/>
      <c r="GC25" s="24"/>
      <c r="GD25" s="24"/>
      <c r="GE25" s="24"/>
      <c r="GF25" s="24"/>
      <c r="GG25" s="24"/>
      <c r="GH25" s="90" t="s">
        <v>137</v>
      </c>
    </row>
    <row r="26" spans="1:190" s="16" customFormat="1" ht="18" customHeight="1" thickTop="1" thickBot="1" x14ac:dyDescent="0.35">
      <c r="A26" s="902" t="str">
        <f>IF(OR(N26="",ABS(N26)&lt;=M26),"",1)</f>
        <v/>
      </c>
      <c r="B26" s="826" t="str">
        <f>IF(OR(D26="",E26=""),"",1)</f>
        <v/>
      </c>
      <c r="C26" s="843" t="str">
        <f>IF(B26="","",SUM(B$26:B26))</f>
        <v/>
      </c>
      <c r="D26" s="957"/>
      <c r="E26" s="957"/>
      <c r="F26" s="960"/>
      <c r="G26" s="961"/>
      <c r="H26" s="962"/>
      <c r="I26" s="963" t="str">
        <f t="shared" ref="I26:I35" si="3">IF($G26="","",IF(AND(OR($F26="",$F26=1),OR($G26="A1",$G26="A2",$G26="A3",$G26="A4",$G26="A5")),LOOKUP($G26,$AO$6:$AO$15,$AP$6:$AP$15),IF(AND($F26=2,OR($G26="A6",$G26="A7",$G26="A8",$G26="A9",$G26="A10")),LOOKUP($G26,$AO$6:$AO$15,$AP$6:$AP$15),"Erro")))</f>
        <v/>
      </c>
      <c r="J26" s="964" t="str">
        <f t="shared" ref="J26:J35" si="4">IF($H26="","",IF(AND(OR($F26="",$F26=1),OR($H26="A1",$H26="A2",$H26="A3",$H26="A4",$H26="A5")),LOOKUP($H26,$AO$6:$AO$15,$AP$6:$AP$15),IF(AND($F26=2,OR($H26="A6",$H26="A7",$H26="A8",$H26="A9",$H26="A10")),LOOKUP($H26,$AO$6:$AO$15,$AP$6:$AP$15),"Erro")))</f>
        <v/>
      </c>
      <c r="K26" s="965">
        <f t="shared" ref="K26:K35" si="5">IF($I26="",0,IF(AND($F26=2,OR(G26=AF$9,G26=AF$10,G26=AF$11,G26=AF$12,G26=AF$13),$I26&gt;5,$I26&lt;11,$I26&lt;=(MAX($AE$9:$AE$13)+5)),LOOKUP(($I26-5),$AE$9:$AE$13,$AN$9:$AN$13),IF(AND(OR($F26=1,$F26=""),OR(G26=V$9,G26=V$10,G26=V$11,G26=V$12,G26=V$13),$I26&gt;0,$I26&lt;6,$I26&lt;=MAX($T$9:$T$13)),LOOKUP($I26,$T$9:$T$13,$AD$9:$AD$13),"Erro")))</f>
        <v>0</v>
      </c>
      <c r="L26" s="966">
        <f t="shared" ref="L26:L35" si="6">IF($J26="",0,IF(AND($F26=2,OR(H26=AF$9,H26=AF$10,H26=AF$11,H26=AF$12,H26=AF$13),$J26&gt;5,$J26&lt;11,$J26&lt;=(MAX($AE$9:$AE$13)+5)),LOOKUP(($J26-5),$AE$9:$AE$13,$AN$9:$AN$13),IF(AND(OR($F26=1,$F26=""),OR(H26=V$9,H26=V$10,H26=V$11,H26=V$12,H26=V$13),$J26&gt;0,$J26&lt;6,$J26&lt;=MAX($T$9:$T$13)),LOOKUP($J26,$T$9:$T$13,$AD$9:$AD$13),"Erro")))</f>
        <v>0</v>
      </c>
      <c r="M26" s="955"/>
      <c r="N26" s="956"/>
      <c r="O26" s="949"/>
      <c r="P26" s="927" t="str">
        <f>IF(M26="","",IF(O26="",ABS(M26)*(1+'Cálculo-Instalação Colectiva-MP'!$L$13),ABS(M26)+O26))</f>
        <v/>
      </c>
      <c r="Q26" s="928" t="str">
        <f t="shared" ref="Q26:Q35" si="7">IF(OR($D26="",$K26="Erro",$L26="Erro",AND($F26=2,$AN$15="")),"",IF(AND($F26=2,$I26="",$J26=""),$AN$15,IF(AND(OR($F26="",$F26=1),$I26="",$J26=""),$AD$15,IF(OR($K26="",$L26=""),"",$K26+$L26))))</f>
        <v/>
      </c>
      <c r="R26" s="935" t="str">
        <f t="shared" ref="R26:R35" si="8">IF(OR(Q26="",Q26=0),"","Aço")</f>
        <v/>
      </c>
      <c r="S26" s="111" t="str">
        <f t="shared" ref="S26:S35" si="9">IF(OR(Q26="",Q26=0,$P$39=""),"",ROUND((($AY$13*$AY$10*Q26^1.82)/($P$39/$AY$12))^(1/4.82),1))</f>
        <v/>
      </c>
      <c r="T26" s="926"/>
      <c r="U26" s="610" t="str">
        <f t="shared" ref="U26:U33" si="10">IF(S26="","",IF(T26&lt;&gt;"",T26,S26))</f>
        <v/>
      </c>
      <c r="V26" s="936" t="str">
        <f>IF(OR(S26="",S26=0),"",IF($U26&gt;'Quadro 3'!$F$23,'Quadro 3'!$F$23,IF($U26&lt;'Quadro 3'!$F$10,'Quadro 3'!$F$10,MIN($W26,$X26))))</f>
        <v/>
      </c>
      <c r="W26" s="937" t="str">
        <f>IF(AND(AW26&lt;&gt;2,$U26&lt;='Quadro 3'!$F$10),'Quadro 3'!$F$10,IF($U26&lt;='Quadro 3'!$F$11,'Quadro 3'!$F$11,IF($U26&lt;='Quadro 3'!$F$12,'Quadro 3'!$F$12,IF($U26&lt;='Quadro 3'!$F$13,'Quadro 3'!$F$13,IF($U26&lt;='Quadro 3'!$F$14,'Quadro 3'!$F$14,IF($U26&lt;='Quadro 3'!$F$15,'Quadro 3'!$F$15,IF($U26&lt;='Quadro 3'!$F$16,'Quadro 3'!$F$16,"")))))))</f>
        <v/>
      </c>
      <c r="X26" s="938" t="str">
        <f>IF(OR(S26="",S26=0),"",IF($U26&lt;='Quadro 3'!$F$17,'Quadro 3'!$F$17,IF($U26&lt;='Quadro 3'!$F$18,'Quadro 3'!$F$18,IF($U26&lt;='Quadro 3'!$F$19,'Quadro 3'!$F$19,IF($U26&lt;='Quadro 3'!$F$20,'Quadro 3'!$F$20,IF($U26&lt;='Quadro 3'!$F$21,'Quadro 3'!$F$21,IF($U26&lt;='Quadro 3'!$F$22,'Quadro 3'!$F$22,IF($U26&lt;='Quadro 3'!$F$23,'Quadro 3'!$F$23,'Quadro 3'!$F$23))))))))</f>
        <v/>
      </c>
      <c r="Y26" s="936" t="str">
        <f>IF($V26="","",LOOKUP($V26,'Quadro 3'!$F$9:$F$23,'Quadro 3'!$G$9:$G$23))</f>
        <v/>
      </c>
      <c r="Z26" s="1129" t="str">
        <f>IF($V26="","",LOOKUP($V26,'Quadro 3'!$F$9:$F$23,'Quadro 3'!$D$9:$D$23))</f>
        <v/>
      </c>
      <c r="AA26" s="939" t="str">
        <f>IF($V26="","",LOOKUP($V26,'Quadro 3'!$F$9:$F$23,'Quadro 3'!$E$9:$E$23))</f>
        <v/>
      </c>
      <c r="AB26" s="929" t="str">
        <f t="shared" ref="AB26:AB35" si="11">IF(OR(D26="",E26="",$P$39=""),"",IF($D26=$BW$16,$AY$11,IF($AZ26&lt;&gt;"",$AZ26,IF($BA26&lt;&gt;"",$BA26,IF($BB26&lt;&gt;"",$BB26,"")))))</f>
        <v/>
      </c>
      <c r="AC26" s="930" t="str">
        <f>IF(OR($D26="",$P26="",$V26="",AB26="",AB26=0),"",(AB26/$AY$12-$AY$13*ABS($P26)*$AY$10*($Q26^1.82/$V26^4.82))*$AY$12)</f>
        <v/>
      </c>
      <c r="AD26" s="1121" t="str">
        <f>IF(AC26="","",(AC26/$AY$12+($AY$20*(1-$AY$9)*$N26))*$AY$12)</f>
        <v/>
      </c>
      <c r="AE26" s="1123" t="str">
        <f>IF(AD26="","",(AB26+AD26)/2)</f>
        <v/>
      </c>
      <c r="AF26" s="931" t="str">
        <f t="shared" ref="AF26:AF31" si="12">IF(AD26="","",(AB26-AD26))</f>
        <v/>
      </c>
      <c r="AG26" s="932" t="str">
        <f t="shared" ref="AG26:AG35" si="13">IF(AD26="","",($AY$11-AD26))</f>
        <v/>
      </c>
      <c r="AH26" s="1153" t="str">
        <f t="shared" ref="AH26:AH35" si="14">IF(AG26="","",IF(ROUND(AG26,1)&lt;=$N$11,"Conforme","Redimensionar"))</f>
        <v/>
      </c>
      <c r="AI26" s="1154"/>
      <c r="AJ26" s="940"/>
      <c r="AK26" s="941"/>
      <c r="AL26" s="933" t="str">
        <f>IF(AE26="","",(354*Q26*$N$14)/(V26^2*(AE26+$N$14)))</f>
        <v/>
      </c>
      <c r="AM26" s="1153" t="str">
        <f t="shared" ref="AM26:AM35" si="15">IF(AL26="","",IF(ROUND(AL26,1)&lt;=$N$12,"Conforme","Redimensionar"))</f>
        <v/>
      </c>
      <c r="AN26" s="1154"/>
      <c r="AO26" s="17"/>
      <c r="AP26" s="909" t="str">
        <f>IF(AW26="","",IF(AND(AW26=2,V26&lt;21.7),4,""))</f>
        <v/>
      </c>
      <c r="AV26" s="1117">
        <f>IF(OR(AND(D26="",OR($E26&lt;&gt;"",$M26&lt;&gt;"")),AND($E$26="",$D26&gt;"",$M26&lt;&gt;""),AND(G26&lt;&gt;"",OR($D26="",$E26="")),AND(H26&lt;&gt;"",OR($D26="",$E26="")),AND(M26&lt;&gt;"",OR($D26="",$E26=""))),100,IF(AND(OR(AH26="",AH26="Não aplicável",AH26="Conforme"),OR(AM26="",AM26="Conforme")),0,1))</f>
        <v>0</v>
      </c>
      <c r="AW26" s="906" t="str">
        <f>IF(OR('Cálculo-Instalação Colectiva-MP'!$I$5&lt;&gt;1,S26="",S26=0),"",IF(OR(AND(G26&lt;&gt;"",H26=""),AND(G26="",H26&lt;&gt;"")),1,2))</f>
        <v/>
      </c>
      <c r="AY26" s="241">
        <f t="shared" ref="AY26:AY35" si="16">MAX(AZ26:BB26)</f>
        <v>0</v>
      </c>
      <c r="AZ26" s="263" t="str">
        <f t="shared" ref="AZ26:AZ35" si="17">IF($D26="","",IF($D26=$E$26,$AD$26,IF($D26=$E$27,$AD$27,IF($D26=$E$28,$AD$28,IF($D26=$E$29,$AD$29,IF($D26=$E$30,$AD$30,IF($D26=$E$31,$AD$31,IF($D26=$E$32,$AD$32,""))))))))</f>
        <v/>
      </c>
      <c r="BA26" s="263" t="str">
        <f t="shared" ref="BA26:BA35" si="18">IF($D26="","",IF($D26=$E$33,$AD$33,IF($D26=$E$34,$AD$34,IF($D26=$E$35,$AD$35,""))))</f>
        <v/>
      </c>
      <c r="BB26" s="263"/>
      <c r="BI26" s="350" t="str">
        <f>IF(OR(W26="",BM26="",BJ26=0),"0",IF(W26&lt;BJ26,1,"0"))</f>
        <v>0</v>
      </c>
      <c r="BJ26" s="350">
        <f>IF(BM26="",0,LOOKUP(BM26,$CQ$26:$CQ$35,$W$26:$W$35))</f>
        <v>0</v>
      </c>
      <c r="BM26" s="911" t="str">
        <f>IF(OR(BW26="",BV26=1),"",MATCH(BW26,$CY$26:$CY$35,0))</f>
        <v/>
      </c>
      <c r="BV26" s="350" t="str">
        <f>IF(OR(BW26="",BW26=0),"",COUNTIF($BW$26:$CF$35,BW26))</f>
        <v/>
      </c>
      <c r="BW26" s="235" t="str">
        <f>IF(CZ26=0,"",CZ26)</f>
        <v/>
      </c>
      <c r="BX26" s="235" t="str">
        <f>IF(DB26=0,"",DB26)</f>
        <v/>
      </c>
      <c r="BY26" s="235" t="str">
        <f>IF(DJ26=0,"",DJ26)</f>
        <v/>
      </c>
      <c r="BZ26" s="235" t="str">
        <f>IF(DR26=0,"",DR26)</f>
        <v/>
      </c>
      <c r="CA26" s="235" t="str">
        <f>IF(DZ26=0,"",DZ26)</f>
        <v/>
      </c>
      <c r="CB26" s="235" t="str">
        <f>IF(EH26=0,"",EH26)</f>
        <v/>
      </c>
      <c r="CC26" s="235" t="str">
        <f>IF(EP26=0,"",EP26)</f>
        <v/>
      </c>
      <c r="CD26" s="235" t="str">
        <f>IF(EX26=0,"",EX26)</f>
        <v/>
      </c>
      <c r="CE26" s="235" t="str">
        <f>IF(FF26=0,"",FF26)</f>
        <v/>
      </c>
      <c r="CF26" s="235" t="str">
        <f>IF(FN26=0,"",FN26)</f>
        <v/>
      </c>
      <c r="CQ26" s="2">
        <v>1</v>
      </c>
      <c r="CV26" s="207" t="str">
        <f>IF(OR(CX26="",CX26=0),"",IF(CX26=$CX$25,"Crítico",""))</f>
        <v/>
      </c>
      <c r="CW26" s="208" t="str">
        <f>IF(CV26="","",1)</f>
        <v/>
      </c>
      <c r="CX26" s="43">
        <f>DA26+DF26+DN26+DV26+ED26+EL26+ET26+FB26+FJ26+FR26+FZ26+GH26+GP26+GX26+HF26+HN26+HV26+ID26+IL26+IT26</f>
        <v>0</v>
      </c>
      <c r="CY26" s="163" t="str">
        <f t="shared" ref="CY26:CY35" si="19">IF(D26="","",D26)</f>
        <v/>
      </c>
      <c r="CZ26" s="45" t="str">
        <f t="shared" ref="CZ26:CZ35" si="20">IF(E26="","",E26)</f>
        <v/>
      </c>
      <c r="DA26" s="46">
        <f t="shared" ref="DA26:DA35" si="21">IF(OR(CZ26="",CZ26=0),0,$M26)</f>
        <v>0</v>
      </c>
      <c r="DB26" s="47" t="str">
        <f t="shared" ref="DB26:DB35" si="22">IF(OR(E26="",D26=""),"",D26)</f>
        <v/>
      </c>
      <c r="DC26" s="123">
        <f t="shared" ref="DC26:DC35" si="23">IF(OR(DB26=0,DB26=""),0,IF(DB26=$E$26,$M$26,IF(DB26=$E$27,$M$27,IF(DB26=$E$28,$M$28,IF(DB26=$E$29,$M$29,IF(DB26=$E$30,$M$30,IF(DB26=$E$31,$M$31,IF(DB26=$E$32,$M$32,""))))))))</f>
        <v>0</v>
      </c>
      <c r="DD26" s="123">
        <f t="shared" ref="DD26:DD35" si="24">IF(OR(DB26=0,DB26=""),0,IF(DB26=$E$33,$M$33,IF(DB26=$E$34,$M$34,IF(DB26=$E$35,$M$35,""))))</f>
        <v>0</v>
      </c>
      <c r="DE26" s="123"/>
      <c r="DF26" s="48">
        <f>IF(OR(DB26="",DB26=0),0,MAX(DC26:DD26:DE26))</f>
        <v>0</v>
      </c>
      <c r="DG26" s="115" t="str">
        <f>IF(DB26="","",IF(DB26=$E$26,$D$26,IF(DB26=$E$27,$D$27,IF(DB26=$E$28,$D$28,IF(DB26=$E$29,$D$29,IF(DB26=$E$30,$D$30,IF(DB26=$E$31,$D$31,IF(DB26=$E$32,$D$32,""))))))))</f>
        <v/>
      </c>
      <c r="DH26" s="51" t="str">
        <f>IF(DB26="","",IF(DB26=$E$33,$D$33,IF(DB26=$E$34,$D$34,IF(DB26=$E$35,$D$35,""))))</f>
        <v/>
      </c>
      <c r="DI26" s="51"/>
      <c r="DJ26" s="49" t="str">
        <f>IF(DG26&lt;&gt;"",DG26,IF(DH26&lt;&gt;"",DH26,IF(DI26&lt;&gt;"",DI26,"")))</f>
        <v/>
      </c>
      <c r="DK26" s="123">
        <f t="shared" ref="DK26:DK35" si="25">IF(OR(DJ26=0,DJ26=""),0,IF(DJ26=$E$26,$M$26,IF(DJ26=$E$27,$M$27,IF(DJ26=$E$28,$M$28,IF(DJ26=$E$29,$M$29,IF(DJ26=$E$30,$M$30,IF(DJ26=$E$31,$M$31,IF(DJ26=$E$32,$M$32,""))))))))</f>
        <v>0</v>
      </c>
      <c r="DL26" s="123">
        <f t="shared" ref="DL26:DL35" si="26">IF(OR(DJ26=0,DJ26=""),0,IF(DJ26=$E$33,$M$33,IF(DJ26=$E$34,$M$34,IF(DJ26=$E$35,$M$35,""))))</f>
        <v>0</v>
      </c>
      <c r="DM26" s="123"/>
      <c r="DN26" s="48">
        <f>IF(OR(DJ26="",DJ26=0),0,MAX(DK26:DL26:DM26))</f>
        <v>0</v>
      </c>
      <c r="DO26" s="115" t="str">
        <f t="shared" ref="DO26:DO35" si="27">IF(DJ26="","",IF(DJ26=$E$26,$D$26,IF(DJ26=$E$27,$D$27,IF(DJ26=$E$28,$D$28,IF(DJ26=$E$29,$D$29,IF(DJ26=$E$30,$D$30,IF(DJ26=$E$31,$D$31,IF(DJ26=$E$32,$D$32,""))))))))</f>
        <v/>
      </c>
      <c r="DP26" s="51" t="str">
        <f>IF(DJ26="","",IF(DJ26=$E$33,$D$33,IF(DJ26=$E$34,$D$34,IF(DJ26=$E$35,$D$35,""))))</f>
        <v/>
      </c>
      <c r="DQ26" s="51"/>
      <c r="DR26" s="49" t="str">
        <f t="shared" ref="DR26:DR35" si="28">IF(DO26&lt;&gt;"",DO26,IF(DP26&lt;&gt;"",DP26,IF(DQ26&lt;&gt;"",DQ26,"")))</f>
        <v/>
      </c>
      <c r="DS26" s="123">
        <f t="shared" ref="DS26:DS35" si="29">IF(OR(DR26=0,DR26=""),0,IF(DR26=$E$26,$M$26,IF(DR26=$E$27,$M$27,IF(DR26=$E$28,$M$28,IF(DR26=$E$29,$M$29,IF(DR26=$E$30,$M$30,IF(DR26=$E$31,$M$31,IF(DR26=$E$32,$M$32,""))))))))</f>
        <v>0</v>
      </c>
      <c r="DT26" s="123">
        <f t="shared" ref="DT26:DT35" si="30">IF(OR(DR26=0,DR26=""),0,IF(DR26=$E$33,$M$33,IF(DR26=$E$34,$M$34,IF(DR26=$E$35,$M$35,""))))</f>
        <v>0</v>
      </c>
      <c r="DU26" s="123"/>
      <c r="DV26" s="48">
        <f>IF(OR(DR26="",DR26=0),0,MAX(DS26:DT26:DU26))</f>
        <v>0</v>
      </c>
      <c r="DW26" s="115" t="str">
        <f t="shared" ref="DW26:DW35" si="31">IF(DR26="","",IF(DR26=$E$26,$D$26,IF(DR26=$E$27,$D$27,IF(DR26=$E$28,$D$28,IF(DR26=$E$29,$D$29,IF(DR26=$E$30,$D$30,IF(DR26=$E$31,$D$31,IF(DR26=$E$32,$D$32,""))))))))</f>
        <v/>
      </c>
      <c r="DX26" s="51" t="str">
        <f>IF(DR26="","",IF(DR26=$E$33,$D$33,IF(DR26=$E$34,$D$34,IF(DR26=$E$35,$D$35,""))))</f>
        <v/>
      </c>
      <c r="DY26" s="51"/>
      <c r="DZ26" s="49" t="str">
        <f t="shared" ref="DZ26:DZ35" si="32">IF(DW26&lt;&gt;"",DW26,IF(DX26&lt;&gt;"",DX26,IF(DY26&lt;&gt;"",DY26,"")))</f>
        <v/>
      </c>
      <c r="EA26" s="123">
        <f t="shared" ref="EA26:EA35" si="33">IF(OR(DZ26=0,DZ26=""),0,IF(DZ26=$E$26,$M$26,IF(DZ26=$E$27,$M$27,IF(DZ26=$E$28,$M$28,IF(DZ26=$E$29,$M$29,IF(DZ26=$E$30,$M$30,IF(DZ26=$E$31,$M$31,IF(DZ26=$E$32,$M$32,""))))))))</f>
        <v>0</v>
      </c>
      <c r="EB26" s="123">
        <f t="shared" ref="EB26:EB35" si="34">IF(OR(DZ26=0,DZ26=""),0,IF(DZ26=$E$33,$M$33,IF(DZ26=$E$34,$M$34,IF(DZ26=$E$35,$M$35,""))))</f>
        <v>0</v>
      </c>
      <c r="EC26" s="123"/>
      <c r="ED26" s="48">
        <f>IF(OR(DZ26="",DZ26=0),0,MAX(EA26:EB26:EC26))</f>
        <v>0</v>
      </c>
      <c r="EE26" s="115" t="str">
        <f t="shared" ref="EE26:EE35" si="35">IF(DZ26="","",IF(DZ26=$E$26,$D$26,IF(DZ26=$E$27,$D$27,IF(DZ26=$E$28,$D$28,IF(DZ26=$E$29,$D$29,IF(DZ26=$E$30,$D$30,IF(DZ26=$E$31,$D$31,IF(DZ26=$E$32,$D$32,""))))))))</f>
        <v/>
      </c>
      <c r="EF26" s="51" t="str">
        <f>IF(DZ26="","",IF(DZ26=$E$33,$D$33,IF(DZ26=$E$34,$D$34,IF(DZ26=$E$35,$D$35,""))))</f>
        <v/>
      </c>
      <c r="EG26" s="51"/>
      <c r="EH26" s="49" t="str">
        <f t="shared" ref="EH26:EH35" si="36">IF(EE26&lt;&gt;"",EE26,IF(EF26&lt;&gt;"",EF26,IF(EG26&lt;&gt;"",EG26,"")))</f>
        <v/>
      </c>
      <c r="EI26" s="123">
        <f t="shared" ref="EI26:EI35" si="37">IF(OR(EH26=0,EH26=""),0,IF(EH26=$E$26,$M$26,IF(EH26=$E$27,$M$27,IF(EH26=$E$28,$M$28,IF(EH26=$E$29,$M$29,IF(EH26=$E$30,$M$30,IF(EH26=$E$31,$M$31,IF(EH26=$E$32,$M$32,""))))))))</f>
        <v>0</v>
      </c>
      <c r="EJ26" s="123">
        <f t="shared" ref="EJ26:EJ35" si="38">IF(OR(EH26=0,EH26=""),0,IF(EH26=$E$33,$M$33,IF(EH26=$E$34,$M$34,IF(EH26=$E$35,$M$35,""))))</f>
        <v>0</v>
      </c>
      <c r="EK26" s="123"/>
      <c r="EL26" s="48">
        <f>IF(OR(EH26="",EH26=0),0,MAX(EI26:EJ26:EK26))</f>
        <v>0</v>
      </c>
      <c r="EM26" s="115" t="str">
        <f t="shared" ref="EM26:EM35" si="39">IF(EH26="","",IF(EH26=$E$26,$D$26,IF(EH26=$E$27,$D$27,IF(EH26=$E$28,$D$28,IF(EH26=$E$29,$D$29,IF(EH26=$E$30,$D$30,IF(EH26=$E$31,$D$31,IF(EH26=$E$32,$D$32,""))))))))</f>
        <v/>
      </c>
      <c r="EN26" s="51" t="str">
        <f>IF(EH26="","",IF(EH26=$E$33,$D$33,IF(EH26=$E$34,$D$34,IF(EH26=$E$35,$D$35,""))))</f>
        <v/>
      </c>
      <c r="EO26" s="51"/>
      <c r="EP26" s="49" t="str">
        <f t="shared" ref="EP26:EP35" si="40">IF(EM26&lt;&gt;"",EM26,IF(EN26&lt;&gt;"",EN26,IF(EO26&lt;&gt;"",EO26,"")))</f>
        <v/>
      </c>
      <c r="EQ26" s="123">
        <f t="shared" ref="EQ26:EQ35" si="41">IF(OR(EP26=0,EP26=""),0,IF(EP26=$E$26,$M$26,IF(EP26=$E$27,$M$27,IF(EP26=$E$28,$M$28,IF(EP26=$E$29,$M$29,IF(EP26=$E$30,$M$30,IF(EP26=$E$31,$M$31,IF(EP26=$E$32,$M$32,""))))))))</f>
        <v>0</v>
      </c>
      <c r="ER26" s="123">
        <f t="shared" ref="ER26:ER35" si="42">IF(OR(EP26=0,EP26=""),0,IF(EP26=$E$33,$M$33,IF(EP26=$E$34,$M$34,IF(EP26=$E$35,$M$35,""))))</f>
        <v>0</v>
      </c>
      <c r="ES26" s="123"/>
      <c r="ET26" s="48">
        <f>IF(OR(EP26="",EP26=0),0,MAX(EQ26:ER26:ES26))</f>
        <v>0</v>
      </c>
      <c r="EU26" s="115" t="str">
        <f t="shared" ref="EU26:EU35" si="43">IF(EP26="","",IF(EP26=$E$26,$D$26,IF(EP26=$E$27,$D$27,IF(EP26=$E$28,$D$28,IF(EP26=$E$29,$D$29,IF(EP26=$E$30,$D$30,IF(EP26=$E$31,$D$31,IF(EP26=$E$32,$D$32,""))))))))</f>
        <v/>
      </c>
      <c r="EV26" s="51" t="str">
        <f>IF(EP26="","",IF(EP26=$E$33,$D$33,IF(EP26=$E$34,$D$34,IF(EP26=$E$35,$D$35,""))))</f>
        <v/>
      </c>
      <c r="EW26" s="51"/>
      <c r="EX26" s="49" t="str">
        <f t="shared" ref="EX26:EX35" si="44">IF(EU26&lt;&gt;"",EU26,IF(EV26&lt;&gt;"",EV26,IF(EW26&lt;&gt;"",EW26,"")))</f>
        <v/>
      </c>
      <c r="EY26" s="123">
        <f t="shared" ref="EY26:EY35" si="45">IF(OR(EX26=0,EX26=""),0,IF(EX26=$E$26,$M$26,IF(EX26=$E$27,$M$27,IF(EX26=$E$28,$M$28,IF(EX26=$E$29,$M$29,IF(EX26=$E$30,$M$30,IF(EX26=$E$31,$M$31,IF(EX26=$E$32,$M$32,""))))))))</f>
        <v>0</v>
      </c>
      <c r="EZ26" s="123">
        <f t="shared" ref="EZ26:EZ35" si="46">IF(OR(EX26=0,EX26=""),0,IF(EX26=$E$33,$M$33,IF(EX26=$E$34,$M$34,IF(EX26=$E$35,$M$35,""))))</f>
        <v>0</v>
      </c>
      <c r="FA26" s="123"/>
      <c r="FB26" s="48">
        <f>IF(OR(EX26="",EX26=0),0,MAX(EY26:EZ26:FA26))</f>
        <v>0</v>
      </c>
      <c r="FC26" s="115" t="str">
        <f t="shared" ref="FC26:FC35" si="47">IF(EX26="","",IF(EX26=$E$26,$D$26,IF(EX26=$E$27,$D$27,IF(EX26=$E$28,$D$28,IF(EX26=$E$29,$D$29,IF(EX26=$E$30,$D$30,IF(EX26=$E$31,$D$31,IF(EX26=$E$32,$D$32,""))))))))</f>
        <v/>
      </c>
      <c r="FD26" s="51" t="str">
        <f>IF(EX26="","",IF(EX26=$E$33,$D$33,IF(EX26=$E$34,$D$34,IF(EX26=$E$35,$D$35,""))))</f>
        <v/>
      </c>
      <c r="FE26" s="51"/>
      <c r="FF26" s="49" t="str">
        <f t="shared" ref="FF26:FF35" si="48">IF(FC26&lt;&gt;"",FC26,IF(FD26&lt;&gt;"",FD26,IF(FE26&lt;&gt;"",FE26,"")))</f>
        <v/>
      </c>
      <c r="FG26" s="123">
        <f t="shared" ref="FG26:FG35" si="49">IF(OR(FF26=0,FF26=""),0,IF(FF26=$E$26,$M$26,IF(FF26=$E$27,$M$27,IF(FF26=$E$28,$M$28,IF(FF26=$E$29,$M$29,IF(FF26=$E$30,$M$30,IF(FF26=$E$31,$M$31,IF(FF26=$E$32,$M$32,""))))))))</f>
        <v>0</v>
      </c>
      <c r="FH26" s="123">
        <f t="shared" ref="FH26:FH35" si="50">IF(OR(FF26=0,FF26=""),0,IF(FF26=$E$33,$M$33,IF(FF26=$E$34,$M$34,IF(FF26=$E$35,$M$35,""))))</f>
        <v>0</v>
      </c>
      <c r="FI26" s="123"/>
      <c r="FJ26" s="48">
        <f>IF(OR(FF26="",FF26=0),0,MAX(FG26:FH26:FI26))</f>
        <v>0</v>
      </c>
      <c r="FK26" s="115" t="str">
        <f t="shared" ref="FK26:FK35" si="51">IF(FF26="","",IF(FF26=$E$26,$D$26,IF(FF26=$E$27,$D$27,IF(FF26=$E$28,$D$28,IF(FF26=$E$29,$D$29,IF(FF26=$E$30,$D$30,IF(FF26=$E$31,$D$31,IF(FF26=$E$32,$D$32,""))))))))</f>
        <v/>
      </c>
      <c r="FL26" s="51" t="str">
        <f>IF(FF26="","",IF(FF26=$E$33,$D$33,IF(FF26=$E$34,$D$34,IF(FF26=$E$35,$D$35,""))))</f>
        <v/>
      </c>
      <c r="FM26" s="51"/>
      <c r="FN26" s="49" t="str">
        <f t="shared" ref="FN26:FN35" si="52">IF(FK26&lt;&gt;"",FK26,IF(FL26&lt;&gt;"",FL26,IF(FM26&lt;&gt;"",FM26,"")))</f>
        <v/>
      </c>
      <c r="FO26" s="123">
        <f t="shared" ref="FO26:FO35" si="53">IF(OR(FN26=0,FN26=""),0,IF(FN26=$E$26,$M$26,IF(FN26=$E$27,$M$27,IF(FN26=$E$28,$M$28,IF(FN26=$E$29,$M$29,IF(FN26=$E$30,$M$30,IF(FN26=$E$31,$M$31,IF(FN26=$E$32,$M$32,""))))))))</f>
        <v>0</v>
      </c>
      <c r="FP26" s="123">
        <f t="shared" ref="FP26:FP35" si="54">IF(OR(FN26=0,FN26=""),0,IF(FN26=$E$33,$M$33,IF(FN26=$E$34,$M$34,IF(FN26=$E$35,$M$35,""))))</f>
        <v>0</v>
      </c>
      <c r="FQ26" s="123"/>
      <c r="FR26" s="48">
        <f>IF(OR(FN26="",FN26=0),0,MAX(FO26:FP26:FQ26))</f>
        <v>0</v>
      </c>
      <c r="FS26" s="115" t="str">
        <f t="shared" ref="FS26:FS35" si="55">IF(FN26="","",IF(FN26=$E$26,$D$26,IF(FN26=$E$27,$D$27,IF(FN26=$E$28,$D$28,IF(FN26=$E$29,$D$29,IF(FN26=$E$30,$D$30,IF(FN26=$E$31,$D$31,IF(FN26=$E$32,$D$32,""))))))))</f>
        <v/>
      </c>
      <c r="FT26" s="51" t="str">
        <f>IF(FN26="","",IF(FN26=$E$33,$D$33,IF(FN26=$E$34,$D$34,IF(FN26=$E$35,$D$35,""))))</f>
        <v/>
      </c>
      <c r="FU26" s="51"/>
      <c r="FV26" s="49" t="str">
        <f t="shared" ref="FV26:FV35" si="56">IF(FS26&lt;&gt;"",FS26,IF(FT26&lt;&gt;"",FT26,IF(FU26&lt;&gt;"",FU26,"")))</f>
        <v/>
      </c>
      <c r="FW26" s="123">
        <f t="shared" ref="FW26:FW35" si="57">IF(OR(FV26=0,FV26=""),0,IF(FV26=$E$26,$M$26,IF(FV26=$E$27,$M$27,IF(FV26=$E$28,$M$28,IF(FV26=$E$29,$M$29,IF(FV26=$E$30,$M$30,IF(FV26=$E$31,$M$31,IF(FV26=$E$32,$M$32,""))))))))</f>
        <v>0</v>
      </c>
      <c r="FX26" s="123">
        <f t="shared" ref="FX26:FX35" si="58">IF(OR(FV26=0,FV26=""),0,IF(FV26=$E$33,$M$33,IF(FV26=$E$34,$M$34,IF(FV26=$E$35,$M$35,""))))</f>
        <v>0</v>
      </c>
      <c r="FY26" s="123"/>
      <c r="FZ26" s="48">
        <f>IF(OR(FV26="",FV26=0),0,MAX(FW26:FX26:FY26))</f>
        <v>0</v>
      </c>
      <c r="GA26" s="115" t="str">
        <f t="shared" ref="GA26:GA35" si="59">IF(FV26="","",IF(FV26=$E$26,$D$26,IF(FV26=$E$27,$D$27,IF(FV26=$E$28,$D$28,IF(FV26=$E$29,$D$29,IF(FV26=$E$30,$D$30,IF(FV26=$E$31,$D$31,IF(FV26=$E$32,$D$32,""))))))))</f>
        <v/>
      </c>
      <c r="GB26" s="51" t="str">
        <f>IF(FV26="","",IF(FV26=$E$33,$D$33,IF(FV26=$E$34,$D$34,IF(FV26=$E$35,$D$35,""))))</f>
        <v/>
      </c>
      <c r="GC26" s="51"/>
      <c r="GD26" s="49" t="str">
        <f t="shared" ref="GD26:GD35" si="60">IF(GA26&lt;&gt;"",GA26,IF(GB26&lt;&gt;"",GB26,IF(GC26&lt;&gt;"",GC26,"")))</f>
        <v/>
      </c>
      <c r="GE26" s="123">
        <f t="shared" ref="GE26:GE35" si="61">IF(OR(GD26=0,GD26=""),0,IF(GD26=$E$26,$M$26,IF(GD26=$E$27,$M$27,IF(GD26=$E$28,$M$28,IF(GD26=$E$29,$M$29,IF(GD26=$E$30,$M$30,IF(GD26=$E$31,$M$31,IF(GD26=$E$32,$M$32,""))))))))</f>
        <v>0</v>
      </c>
      <c r="GF26" s="123">
        <f t="shared" ref="GF26:GF35" si="62">IF(OR(GD26=0,GD26=""),0,IF(GD26=$E$33,$M$33,IF(GD26=$E$34,$M$34,IF(GD26=$E$35,$M$35,""))))</f>
        <v>0</v>
      </c>
      <c r="GG26" s="123"/>
      <c r="GH26" s="48">
        <f>IF(OR(GD26="",GD26=0),0,MAX(GE26:GF26:GG26))</f>
        <v>0</v>
      </c>
    </row>
    <row r="27" spans="1:190" s="16" customFormat="1" ht="18" customHeight="1" thickTop="1" thickBot="1" x14ac:dyDescent="0.35">
      <c r="A27" s="902" t="str">
        <f t="shared" ref="A27:A35" si="63">IF(OR(N27="",ABS(N27)&lt;=M27),"",1)</f>
        <v/>
      </c>
      <c r="B27" s="826" t="str">
        <f t="shared" ref="B27:B35" si="64">IF(OR(D27="",E27=""),"",1)</f>
        <v/>
      </c>
      <c r="C27" s="843" t="str">
        <f>IF(B27="","",SUM(B$26:B27))</f>
        <v/>
      </c>
      <c r="D27" s="958"/>
      <c r="E27" s="959"/>
      <c r="F27" s="948" t="str">
        <f>IF($D27="","",IF($F$26="","",$F$26))</f>
        <v/>
      </c>
      <c r="G27" s="961"/>
      <c r="H27" s="962"/>
      <c r="I27" s="963" t="str">
        <f t="shared" si="3"/>
        <v/>
      </c>
      <c r="J27" s="964" t="str">
        <f t="shared" si="4"/>
        <v/>
      </c>
      <c r="K27" s="965">
        <f t="shared" si="5"/>
        <v>0</v>
      </c>
      <c r="L27" s="966">
        <f t="shared" si="6"/>
        <v>0</v>
      </c>
      <c r="M27" s="955"/>
      <c r="N27" s="956"/>
      <c r="O27" s="949"/>
      <c r="P27" s="927" t="str">
        <f>IF(M27="","",IF(O27="",ABS(M27)*(1+'Cálculo-Instalação Colectiva-MP'!$L$13),ABS(M27)+O27))</f>
        <v/>
      </c>
      <c r="Q27" s="928" t="str">
        <f t="shared" si="7"/>
        <v/>
      </c>
      <c r="R27" s="935" t="str">
        <f t="shared" si="8"/>
        <v/>
      </c>
      <c r="S27" s="111" t="str">
        <f t="shared" si="9"/>
        <v/>
      </c>
      <c r="T27" s="926"/>
      <c r="U27" s="610" t="str">
        <f t="shared" si="10"/>
        <v/>
      </c>
      <c r="V27" s="936" t="str">
        <f>IF(OR(S27="",S27=0),"",IF($U27&gt;'Quadro 3'!$F$23,'Quadro 3'!$F$23,IF($U27&lt;'Quadro 3'!$F$10,'Quadro 3'!$F$10,MIN($W27,$X27))))</f>
        <v/>
      </c>
      <c r="W27" s="937" t="str">
        <f>IF(AND(AW27&lt;&gt;2,$U27&lt;='Quadro 3'!$F$10),'Quadro 3'!$F$10,IF($U27&lt;='Quadro 3'!$F$11,'Quadro 3'!$F$11,IF($U27&lt;='Quadro 3'!$F$12,'Quadro 3'!$F$12,IF($U27&lt;='Quadro 3'!$F$13,'Quadro 3'!$F$13,IF($U27&lt;='Quadro 3'!$F$14,'Quadro 3'!$F$14,IF($U27&lt;='Quadro 3'!$F$15,'Quadro 3'!$F$15,IF($U27&lt;='Quadro 3'!$F$16,'Quadro 3'!$F$16,"")))))))</f>
        <v/>
      </c>
      <c r="X27" s="938" t="str">
        <f>IF(OR(S27="",S27=0),"",IF($U27&lt;='Quadro 3'!$F$17,'Quadro 3'!$F$17,IF($U27&lt;='Quadro 3'!$F$18,'Quadro 3'!$F$18,IF($U27&lt;='Quadro 3'!$F$19,'Quadro 3'!$F$19,IF($U27&lt;='Quadro 3'!$F$20,'Quadro 3'!$F$20,IF($U27&lt;='Quadro 3'!$F$21,'Quadro 3'!$F$21,IF($U27&lt;='Quadro 3'!$F$22,'Quadro 3'!$F$22,IF($U27&lt;='Quadro 3'!$F$23,'Quadro 3'!$F$23,'Quadro 3'!$F$23))))))))</f>
        <v/>
      </c>
      <c r="Y27" s="936" t="str">
        <f>IF($V27="","",LOOKUP($V27,'Quadro 3'!$F$9:$F$23,'Quadro 3'!$G$9:$G$23))</f>
        <v/>
      </c>
      <c r="Z27" s="1129" t="str">
        <f>IF($V27="","",LOOKUP($V27,'Quadro 3'!$F$9:$F$23,'Quadro 3'!$D$9:$D$23))</f>
        <v/>
      </c>
      <c r="AA27" s="939" t="str">
        <f>IF($V27="","",LOOKUP($V27,'Quadro 3'!$F$9:$F$23,'Quadro 3'!$E$9:$E$23))</f>
        <v/>
      </c>
      <c r="AB27" s="929" t="str">
        <f t="shared" si="11"/>
        <v/>
      </c>
      <c r="AC27" s="930" t="str">
        <f t="shared" ref="AC27:AC35" si="65">IF(OR($D27="",$P27="",$V27="",AB27="",AB27=0),"",(AB27/$AY$12-$AY$13*ABS($P27)*$AY$10*($Q27^1.82/$V27^4.82))*$AY$12)</f>
        <v/>
      </c>
      <c r="AD27" s="1121" t="str">
        <f t="shared" ref="AD27:AD35" si="66">IF(AC27="","",(AC27/$AY$12+($AY$20*(1-$AY$9)*$N27))*$AY$12)</f>
        <v/>
      </c>
      <c r="AE27" s="1123" t="str">
        <f>IF(AD27="","",(AB27+AD27)/2)</f>
        <v/>
      </c>
      <c r="AF27" s="931" t="str">
        <f t="shared" si="12"/>
        <v/>
      </c>
      <c r="AG27" s="932" t="str">
        <f t="shared" si="13"/>
        <v/>
      </c>
      <c r="AH27" s="1153" t="str">
        <f t="shared" si="14"/>
        <v/>
      </c>
      <c r="AI27" s="1154"/>
      <c r="AJ27" s="940"/>
      <c r="AK27" s="941"/>
      <c r="AL27" s="933" t="str">
        <f>IF(AE27="","",(354*Q27*$N$14)/(V27^2*(AE27+$N$14)))</f>
        <v/>
      </c>
      <c r="AM27" s="1153" t="str">
        <f t="shared" si="15"/>
        <v/>
      </c>
      <c r="AN27" s="1154"/>
      <c r="AO27" s="17"/>
      <c r="AP27" s="909" t="str">
        <f t="shared" ref="AP27:AP35" si="67">IF(AW27="","",IF(AND(AW27=2,V27&lt;21.7),4,""))</f>
        <v/>
      </c>
      <c r="AV27" s="1117">
        <f t="shared" ref="AV27:AV35" si="68">IF(OR(AND(D27="",OR($E27&lt;&gt;"",$M27&lt;&gt;"")),AND($E$26="",$D27&gt;"",$M27&lt;&gt;""),AND(G27&lt;&gt;"",OR($D27="",$E27="")),AND(H27&lt;&gt;"",OR($D27="",$E27="")),AND(M27&lt;&gt;"",OR($D27="",$E27=""))),100,IF(AND(OR(AH27="",AH27="Não aplicável",AH27="Conforme"),OR(AM27="",AM27="Conforme")),0,1))</f>
        <v>0</v>
      </c>
      <c r="AW27" s="906" t="str">
        <f>IF(OR('Cálculo-Instalação Colectiva-MP'!$I$5&lt;&gt;1,S27="",S27=0),"",IF(OR(AND(G27&lt;&gt;"",H27=""),AND(G27="",H27&lt;&gt;"")),1,2))</f>
        <v/>
      </c>
      <c r="AY27" s="241">
        <f t="shared" si="16"/>
        <v>0</v>
      </c>
      <c r="AZ27" s="263" t="str">
        <f t="shared" si="17"/>
        <v/>
      </c>
      <c r="BA27" s="263" t="str">
        <f t="shared" si="18"/>
        <v/>
      </c>
      <c r="BB27" s="263"/>
      <c r="BI27" s="350" t="str">
        <f t="shared" ref="BI27:BI35" si="69">IF(OR(W27="",BM27="",BJ27=0),"0",IF(W27&lt;BJ27,1,"0"))</f>
        <v>0</v>
      </c>
      <c r="BJ27" s="350">
        <f t="shared" ref="BJ27:BJ35" si="70">IF(BM27="",0,LOOKUP(BM27,$CQ$26:$CQ$35,$W$26:$W$35))</f>
        <v>0</v>
      </c>
      <c r="BM27" s="911" t="str">
        <f t="shared" ref="BM27:BM35" si="71">IF(OR(BW27="",BV27=1),"",MATCH(BW27,$CY$26:$CY$35,0))</f>
        <v/>
      </c>
      <c r="BV27" s="350" t="str">
        <f t="shared" ref="BV27:BV35" si="72">IF(OR(BW27="",BW27=0),"",COUNTIF($BW$26:$CF$35,BW27))</f>
        <v/>
      </c>
      <c r="BW27" s="235" t="str">
        <f t="shared" ref="BW27:BW35" si="73">IF(CZ27=0,"",CZ27)</f>
        <v/>
      </c>
      <c r="BX27" s="235" t="str">
        <f t="shared" ref="BX27:BX35" si="74">IF(DB27=0,"",DB27)</f>
        <v/>
      </c>
      <c r="BY27" s="235" t="str">
        <f t="shared" ref="BY27:BY35" si="75">IF(DJ27=0,"",DJ27)</f>
        <v/>
      </c>
      <c r="BZ27" s="235" t="str">
        <f t="shared" ref="BZ27:BZ35" si="76">IF(DR27=0,"",DR27)</f>
        <v/>
      </c>
      <c r="CA27" s="235" t="str">
        <f t="shared" ref="CA27:CA35" si="77">IF(DZ27=0,"",DZ27)</f>
        <v/>
      </c>
      <c r="CB27" s="235" t="str">
        <f t="shared" ref="CB27:CB35" si="78">IF(EH27=0,"",EH27)</f>
        <v/>
      </c>
      <c r="CC27" s="235" t="str">
        <f t="shared" ref="CC27:CC35" si="79">IF(EP27=0,"",EP27)</f>
        <v/>
      </c>
      <c r="CD27" s="235" t="str">
        <f t="shared" ref="CD27:CD35" si="80">IF(EX27=0,"",EX27)</f>
        <v/>
      </c>
      <c r="CE27" s="235" t="str">
        <f t="shared" ref="CE27:CE35" si="81">IF(FF27=0,"",FF27)</f>
        <v/>
      </c>
      <c r="CF27" s="235" t="str">
        <f t="shared" ref="CF27:CF35" si="82">IF(FN27=0,"",FN27)</f>
        <v/>
      </c>
      <c r="CQ27" s="2">
        <v>2</v>
      </c>
      <c r="CV27" s="209" t="str">
        <f>IF(OR(CX27="",CX27=0),"",IF(CX27=$CX$25,"Crítico",""))</f>
        <v/>
      </c>
      <c r="CW27" s="204" t="str">
        <f>IF(CV27="","",1)</f>
        <v/>
      </c>
      <c r="CX27" s="43">
        <f>DA27+DF27+DN27+DV27+ED27+EL27+ET27+FB27+FJ27+FR27+FZ27+GH27+GP27+GX27+HF27+HN27+HV27+ID27+IL27+IT27</f>
        <v>0</v>
      </c>
      <c r="CY27" s="163" t="str">
        <f t="shared" si="19"/>
        <v/>
      </c>
      <c r="CZ27" s="45" t="str">
        <f t="shared" si="20"/>
        <v/>
      </c>
      <c r="DA27" s="46">
        <f t="shared" si="21"/>
        <v>0</v>
      </c>
      <c r="DB27" s="47" t="str">
        <f t="shared" si="22"/>
        <v/>
      </c>
      <c r="DC27" s="123">
        <f t="shared" si="23"/>
        <v>0</v>
      </c>
      <c r="DD27" s="123">
        <f t="shared" si="24"/>
        <v>0</v>
      </c>
      <c r="DE27" s="123"/>
      <c r="DF27" s="48">
        <f>IF(OR(DB27="",DB27=0),0,MAX(DC27:DD27:DE27))</f>
        <v>0</v>
      </c>
      <c r="DG27" s="115" t="str">
        <f t="shared" ref="DG27:DG35" si="83">IF(DB27="","",IF(DB27=$E$26,$D$26,IF(DB27=$E$27,$D$27,IF(DB27=$E$28,$D$28,IF(DB27=$E$29,$D$29,IF(DB27=$E$30,$D$30,IF(DB27=$E$31,$D$31,IF(DB27=$E$32,$D$32,""))))))))</f>
        <v/>
      </c>
      <c r="DH27" s="51" t="str">
        <f t="shared" ref="DH27:DH35" si="84">IF(DB27="","",IF(DB27=$E$33,$D$33,IF(DB27=$E$34,$D$34,IF(DB27=$E$35,$D$35,""))))</f>
        <v/>
      </c>
      <c r="DI27" s="51"/>
      <c r="DJ27" s="49" t="str">
        <f t="shared" ref="DJ27:DJ35" si="85">IF(DG27&lt;&gt;"",DG27,IF(DH27&lt;&gt;"",DH27,IF(DI27&lt;&gt;"",DI27,"")))</f>
        <v/>
      </c>
      <c r="DK27" s="123">
        <f t="shared" si="25"/>
        <v>0</v>
      </c>
      <c r="DL27" s="123">
        <f t="shared" si="26"/>
        <v>0</v>
      </c>
      <c r="DM27" s="123"/>
      <c r="DN27" s="48">
        <f>IF(OR(DJ27="",DJ27=0),0,MAX(DK27:DL27:DM27))</f>
        <v>0</v>
      </c>
      <c r="DO27" s="115" t="str">
        <f t="shared" si="27"/>
        <v/>
      </c>
      <c r="DP27" s="51" t="str">
        <f t="shared" ref="DP27:DP35" si="86">IF(DJ27="","",IF(DJ27=$E$33,$D$33,IF(DJ27=$E$34,$D$34,IF(DJ27=$E$35,$D$35,""))))</f>
        <v/>
      </c>
      <c r="DQ27" s="51"/>
      <c r="DR27" s="49" t="str">
        <f t="shared" si="28"/>
        <v/>
      </c>
      <c r="DS27" s="123">
        <f t="shared" si="29"/>
        <v>0</v>
      </c>
      <c r="DT27" s="123">
        <f t="shared" si="30"/>
        <v>0</v>
      </c>
      <c r="DU27" s="123"/>
      <c r="DV27" s="48">
        <f>IF(OR(DR27="",DR27=0),0,MAX(DS27:DT27:DU27))</f>
        <v>0</v>
      </c>
      <c r="DW27" s="115" t="str">
        <f t="shared" si="31"/>
        <v/>
      </c>
      <c r="DX27" s="51" t="str">
        <f t="shared" ref="DX27:DX35" si="87">IF(DR27="","",IF(DR27=$E$33,$D$33,IF(DR27=$E$34,$D$34,IF(DR27=$E$35,$D$35,""))))</f>
        <v/>
      </c>
      <c r="DY27" s="51"/>
      <c r="DZ27" s="49" t="str">
        <f t="shared" si="32"/>
        <v/>
      </c>
      <c r="EA27" s="123">
        <f t="shared" si="33"/>
        <v>0</v>
      </c>
      <c r="EB27" s="123">
        <f t="shared" si="34"/>
        <v>0</v>
      </c>
      <c r="EC27" s="123"/>
      <c r="ED27" s="48">
        <f>IF(OR(DZ27="",DZ27=0),0,MAX(EA27:EB27:EC27))</f>
        <v>0</v>
      </c>
      <c r="EE27" s="115" t="str">
        <f t="shared" si="35"/>
        <v/>
      </c>
      <c r="EF27" s="51" t="str">
        <f t="shared" ref="EF27:EF35" si="88">IF(DZ27="","",IF(DZ27=$E$33,$D$33,IF(DZ27=$E$34,$D$34,IF(DZ27=$E$35,$D$35,""))))</f>
        <v/>
      </c>
      <c r="EG27" s="51"/>
      <c r="EH27" s="49" t="str">
        <f t="shared" si="36"/>
        <v/>
      </c>
      <c r="EI27" s="123">
        <f t="shared" si="37"/>
        <v>0</v>
      </c>
      <c r="EJ27" s="123">
        <f t="shared" si="38"/>
        <v>0</v>
      </c>
      <c r="EK27" s="123"/>
      <c r="EL27" s="48">
        <f>IF(OR(EH27="",EH27=0),0,MAX(EI27:EJ27:EK27))</f>
        <v>0</v>
      </c>
      <c r="EM27" s="115" t="str">
        <f t="shared" si="39"/>
        <v/>
      </c>
      <c r="EN27" s="51" t="str">
        <f t="shared" ref="EN27:EN35" si="89">IF(EH27="","",IF(EH27=$E$33,$D$33,IF(EH27=$E$34,$D$34,IF(EH27=$E$35,$D$35,""))))</f>
        <v/>
      </c>
      <c r="EO27" s="51"/>
      <c r="EP27" s="49" t="str">
        <f t="shared" si="40"/>
        <v/>
      </c>
      <c r="EQ27" s="123">
        <f t="shared" si="41"/>
        <v>0</v>
      </c>
      <c r="ER27" s="123">
        <f t="shared" si="42"/>
        <v>0</v>
      </c>
      <c r="ES27" s="123"/>
      <c r="ET27" s="48">
        <f>IF(OR(EP27="",EP27=0),0,MAX(EQ27:ER27:ES27))</f>
        <v>0</v>
      </c>
      <c r="EU27" s="115" t="str">
        <f t="shared" si="43"/>
        <v/>
      </c>
      <c r="EV27" s="51" t="str">
        <f t="shared" ref="EV27:EV35" si="90">IF(EP27="","",IF(EP27=$E$33,$D$33,IF(EP27=$E$34,$D$34,IF(EP27=$E$35,$D$35,""))))</f>
        <v/>
      </c>
      <c r="EW27" s="51"/>
      <c r="EX27" s="49" t="str">
        <f t="shared" si="44"/>
        <v/>
      </c>
      <c r="EY27" s="123">
        <f t="shared" si="45"/>
        <v>0</v>
      </c>
      <c r="EZ27" s="123">
        <f t="shared" si="46"/>
        <v>0</v>
      </c>
      <c r="FA27" s="123"/>
      <c r="FB27" s="48">
        <f>IF(OR(EX27="",EX27=0),0,MAX(EY27:EZ27:FA27))</f>
        <v>0</v>
      </c>
      <c r="FC27" s="115" t="str">
        <f t="shared" si="47"/>
        <v/>
      </c>
      <c r="FD27" s="51" t="str">
        <f t="shared" ref="FD27:FD35" si="91">IF(EX27="","",IF(EX27=$E$33,$D$33,IF(EX27=$E$34,$D$34,IF(EX27=$E$35,$D$35,""))))</f>
        <v/>
      </c>
      <c r="FE27" s="51"/>
      <c r="FF27" s="49" t="str">
        <f t="shared" si="48"/>
        <v/>
      </c>
      <c r="FG27" s="123">
        <f t="shared" si="49"/>
        <v>0</v>
      </c>
      <c r="FH27" s="123">
        <f t="shared" si="50"/>
        <v>0</v>
      </c>
      <c r="FI27" s="123"/>
      <c r="FJ27" s="48">
        <f>IF(OR(FF27="",FF27=0),0,MAX(FG27:FH27:FI27))</f>
        <v>0</v>
      </c>
      <c r="FK27" s="115" t="str">
        <f t="shared" si="51"/>
        <v/>
      </c>
      <c r="FL27" s="51" t="str">
        <f t="shared" ref="FL27:FL35" si="92">IF(FF27="","",IF(FF27=$E$33,$D$33,IF(FF27=$E$34,$D$34,IF(FF27=$E$35,$D$35,""))))</f>
        <v/>
      </c>
      <c r="FM27" s="51"/>
      <c r="FN27" s="49" t="str">
        <f t="shared" si="52"/>
        <v/>
      </c>
      <c r="FO27" s="123">
        <f t="shared" si="53"/>
        <v>0</v>
      </c>
      <c r="FP27" s="123">
        <f t="shared" si="54"/>
        <v>0</v>
      </c>
      <c r="FQ27" s="123"/>
      <c r="FR27" s="48">
        <f>IF(OR(FN27="",FN27=0),0,MAX(FO27:FP27:FQ27))</f>
        <v>0</v>
      </c>
      <c r="FS27" s="115" t="str">
        <f t="shared" si="55"/>
        <v/>
      </c>
      <c r="FT27" s="51" t="str">
        <f t="shared" ref="FT27:FT35" si="93">IF(FN27="","",IF(FN27=$E$33,$D$33,IF(FN27=$E$34,$D$34,IF(FN27=$E$35,$D$35,""))))</f>
        <v/>
      </c>
      <c r="FU27" s="51"/>
      <c r="FV27" s="49" t="str">
        <f t="shared" si="56"/>
        <v/>
      </c>
      <c r="FW27" s="123">
        <f t="shared" si="57"/>
        <v>0</v>
      </c>
      <c r="FX27" s="123">
        <f t="shared" si="58"/>
        <v>0</v>
      </c>
      <c r="FY27" s="123"/>
      <c r="FZ27" s="48">
        <f>IF(OR(FV27="",FV27=0),0,MAX(FW27:FX27:FY27))</f>
        <v>0</v>
      </c>
      <c r="GA27" s="115" t="str">
        <f t="shared" si="59"/>
        <v/>
      </c>
      <c r="GB27" s="51" t="str">
        <f t="shared" ref="GB27:GB35" si="94">IF(FV27="","",IF(FV27=$E$33,$D$33,IF(FV27=$E$34,$D$34,IF(FV27=$E$35,$D$35,""))))</f>
        <v/>
      </c>
      <c r="GC27" s="51"/>
      <c r="GD27" s="49" t="str">
        <f t="shared" si="60"/>
        <v/>
      </c>
      <c r="GE27" s="123">
        <f t="shared" si="61"/>
        <v>0</v>
      </c>
      <c r="GF27" s="123">
        <f t="shared" si="62"/>
        <v>0</v>
      </c>
      <c r="GG27" s="123"/>
      <c r="GH27" s="48">
        <f>IF(OR(GD27="",GD27=0),0,MAX(GE27:GF27:GG27))</f>
        <v>0</v>
      </c>
    </row>
    <row r="28" spans="1:190" s="16" customFormat="1" ht="18" customHeight="1" thickTop="1" thickBot="1" x14ac:dyDescent="0.35">
      <c r="A28" s="902" t="str">
        <f t="shared" si="63"/>
        <v/>
      </c>
      <c r="B28" s="826" t="str">
        <f t="shared" si="64"/>
        <v/>
      </c>
      <c r="C28" s="843" t="str">
        <f>IF(B28="","",SUM(B$26:B28))</f>
        <v/>
      </c>
      <c r="D28" s="958"/>
      <c r="E28" s="959"/>
      <c r="F28" s="948" t="str">
        <f>IF($D28="","",IF($F$26="","",$F$26))</f>
        <v/>
      </c>
      <c r="G28" s="961"/>
      <c r="H28" s="962"/>
      <c r="I28" s="963" t="str">
        <f t="shared" si="3"/>
        <v/>
      </c>
      <c r="J28" s="964" t="str">
        <f t="shared" si="4"/>
        <v/>
      </c>
      <c r="K28" s="965">
        <f t="shared" si="5"/>
        <v>0</v>
      </c>
      <c r="L28" s="966">
        <f t="shared" si="6"/>
        <v>0</v>
      </c>
      <c r="M28" s="955"/>
      <c r="N28" s="956"/>
      <c r="O28" s="949"/>
      <c r="P28" s="927" t="str">
        <f>IF(M28="","",IF(O28="",ABS(M28)*(1+'Cálculo-Instalação Colectiva-MP'!$L$13),ABS(M28)+O28))</f>
        <v/>
      </c>
      <c r="Q28" s="928" t="str">
        <f t="shared" si="7"/>
        <v/>
      </c>
      <c r="R28" s="935" t="str">
        <f t="shared" si="8"/>
        <v/>
      </c>
      <c r="S28" s="111" t="str">
        <f t="shared" si="9"/>
        <v/>
      </c>
      <c r="T28" s="926"/>
      <c r="U28" s="610" t="str">
        <f t="shared" si="10"/>
        <v/>
      </c>
      <c r="V28" s="936" t="str">
        <f>IF(OR(S28="",S28=0),"",IF($U28&gt;'Quadro 3'!$F$23,'Quadro 3'!$F$23,IF($U28&lt;'Quadro 3'!$F$10,'Quadro 3'!$F$10,MIN($W28,$X28))))</f>
        <v/>
      </c>
      <c r="W28" s="937" t="str">
        <f>IF(AND(AW28&lt;&gt;2,$U28&lt;='Quadro 3'!$F$10),'Quadro 3'!$F$10,IF($U28&lt;='Quadro 3'!$F$11,'Quadro 3'!$F$11,IF($U28&lt;='Quadro 3'!$F$12,'Quadro 3'!$F$12,IF($U28&lt;='Quadro 3'!$F$13,'Quadro 3'!$F$13,IF($U28&lt;='Quadro 3'!$F$14,'Quadro 3'!$F$14,IF($U28&lt;='Quadro 3'!$F$15,'Quadro 3'!$F$15,IF($U28&lt;='Quadro 3'!$F$16,'Quadro 3'!$F$16,"")))))))</f>
        <v/>
      </c>
      <c r="X28" s="938" t="str">
        <f>IF(OR(S28="",S28=0),"",IF($U28&lt;='Quadro 3'!$F$17,'Quadro 3'!$F$17,IF($U28&lt;='Quadro 3'!$F$18,'Quadro 3'!$F$18,IF($U28&lt;='Quadro 3'!$F$19,'Quadro 3'!$F$19,IF($U28&lt;='Quadro 3'!$F$20,'Quadro 3'!$F$20,IF($U28&lt;='Quadro 3'!$F$21,'Quadro 3'!$F$21,IF($U28&lt;='Quadro 3'!$F$22,'Quadro 3'!$F$22,IF($U28&lt;='Quadro 3'!$F$23,'Quadro 3'!$F$23,'Quadro 3'!$F$23))))))))</f>
        <v/>
      </c>
      <c r="Y28" s="936" t="str">
        <f>IF($V28="","",LOOKUP($V28,'Quadro 3'!$F$9:$F$23,'Quadro 3'!$G$9:$G$23))</f>
        <v/>
      </c>
      <c r="Z28" s="1129" t="str">
        <f>IF($V28="","",LOOKUP($V28,'Quadro 3'!$F$9:$F$23,'Quadro 3'!$D$9:$D$23))</f>
        <v/>
      </c>
      <c r="AA28" s="939" t="str">
        <f>IF($V28="","",LOOKUP($V28,'Quadro 3'!$F$9:$F$23,'Quadro 3'!$E$9:$E$23))</f>
        <v/>
      </c>
      <c r="AB28" s="929" t="str">
        <f t="shared" si="11"/>
        <v/>
      </c>
      <c r="AC28" s="930" t="str">
        <f t="shared" si="65"/>
        <v/>
      </c>
      <c r="AD28" s="1121" t="str">
        <f t="shared" si="66"/>
        <v/>
      </c>
      <c r="AE28" s="1123" t="str">
        <f t="shared" ref="AE28:AE35" si="95">IF(AD28="","",(AB28+AD28)/2)</f>
        <v/>
      </c>
      <c r="AF28" s="931" t="str">
        <f t="shared" si="12"/>
        <v/>
      </c>
      <c r="AG28" s="932" t="str">
        <f t="shared" si="13"/>
        <v/>
      </c>
      <c r="AH28" s="1153" t="str">
        <f t="shared" si="14"/>
        <v/>
      </c>
      <c r="AI28" s="1154"/>
      <c r="AJ28" s="940"/>
      <c r="AK28" s="941"/>
      <c r="AL28" s="933" t="str">
        <f t="shared" ref="AL28:AL35" si="96">IF(AE28="","",(354*Q28*$N$14)/(V28^2*(AE28+$N$14)))</f>
        <v/>
      </c>
      <c r="AM28" s="1153" t="str">
        <f t="shared" si="15"/>
        <v/>
      </c>
      <c r="AN28" s="1154"/>
      <c r="AO28" s="17"/>
      <c r="AP28" s="909" t="str">
        <f t="shared" si="67"/>
        <v/>
      </c>
      <c r="AV28" s="1117">
        <f t="shared" si="68"/>
        <v>0</v>
      </c>
      <c r="AW28" s="906" t="str">
        <f>IF(OR('Cálculo-Instalação Colectiva-MP'!$I$5&lt;&gt;1,S28="",S28=0),"",IF(OR(AND(G28&lt;&gt;"",H28=""),AND(G28="",H28&lt;&gt;"")),1,2))</f>
        <v/>
      </c>
      <c r="AY28" s="241">
        <f t="shared" si="16"/>
        <v>0</v>
      </c>
      <c r="AZ28" s="263" t="str">
        <f t="shared" si="17"/>
        <v/>
      </c>
      <c r="BA28" s="263" t="str">
        <f t="shared" si="18"/>
        <v/>
      </c>
      <c r="BB28" s="263"/>
      <c r="BI28" s="350" t="str">
        <f t="shared" si="69"/>
        <v>0</v>
      </c>
      <c r="BJ28" s="350">
        <f t="shared" si="70"/>
        <v>0</v>
      </c>
      <c r="BM28" s="911" t="str">
        <f t="shared" si="71"/>
        <v/>
      </c>
      <c r="BV28" s="350" t="str">
        <f t="shared" si="72"/>
        <v/>
      </c>
      <c r="BW28" s="235" t="str">
        <f t="shared" si="73"/>
        <v/>
      </c>
      <c r="BX28" s="235" t="str">
        <f t="shared" si="74"/>
        <v/>
      </c>
      <c r="BY28" s="235" t="str">
        <f t="shared" si="75"/>
        <v/>
      </c>
      <c r="BZ28" s="235" t="str">
        <f t="shared" si="76"/>
        <v/>
      </c>
      <c r="CA28" s="235" t="str">
        <f t="shared" si="77"/>
        <v/>
      </c>
      <c r="CB28" s="235" t="str">
        <f t="shared" si="78"/>
        <v/>
      </c>
      <c r="CC28" s="235" t="str">
        <f t="shared" si="79"/>
        <v/>
      </c>
      <c r="CD28" s="235" t="str">
        <f t="shared" si="80"/>
        <v/>
      </c>
      <c r="CE28" s="235" t="str">
        <f t="shared" si="81"/>
        <v/>
      </c>
      <c r="CF28" s="235" t="str">
        <f t="shared" si="82"/>
        <v/>
      </c>
      <c r="CQ28" s="2">
        <v>3</v>
      </c>
      <c r="CV28" s="209" t="str">
        <f t="shared" ref="CV28:CV35" si="97">IF(OR(CX28="",CX28=0),"",IF(CX28=$CX$25,"Crítico",""))</f>
        <v/>
      </c>
      <c r="CW28" s="204" t="str">
        <f t="shared" ref="CW28:CW35" si="98">IF(CV28="","",1)</f>
        <v/>
      </c>
      <c r="CX28" s="43">
        <f t="shared" ref="CX28:CX35" si="99">DA28+DF28+DN28+DV28+ED28+EL28+ET28+FB28+FJ28+FR28+FZ28+GH28</f>
        <v>0</v>
      </c>
      <c r="CY28" s="163" t="str">
        <f t="shared" si="19"/>
        <v/>
      </c>
      <c r="CZ28" s="45" t="str">
        <f t="shared" si="20"/>
        <v/>
      </c>
      <c r="DA28" s="46">
        <f t="shared" si="21"/>
        <v>0</v>
      </c>
      <c r="DB28" s="47" t="str">
        <f t="shared" si="22"/>
        <v/>
      </c>
      <c r="DC28" s="123">
        <f t="shared" si="23"/>
        <v>0</v>
      </c>
      <c r="DD28" s="123">
        <f t="shared" si="24"/>
        <v>0</v>
      </c>
      <c r="DE28" s="123"/>
      <c r="DF28" s="48">
        <f>IF(OR(DB28="",DB28=0),0,MAX(DC28:DD28:DE28))</f>
        <v>0</v>
      </c>
      <c r="DG28" s="115" t="str">
        <f t="shared" si="83"/>
        <v/>
      </c>
      <c r="DH28" s="51" t="str">
        <f t="shared" si="84"/>
        <v/>
      </c>
      <c r="DI28" s="51"/>
      <c r="DJ28" s="49" t="str">
        <f t="shared" si="85"/>
        <v/>
      </c>
      <c r="DK28" s="123">
        <f t="shared" si="25"/>
        <v>0</v>
      </c>
      <c r="DL28" s="123">
        <f t="shared" si="26"/>
        <v>0</v>
      </c>
      <c r="DM28" s="123"/>
      <c r="DN28" s="48">
        <f>IF(OR(DJ28="",DJ28=0),0,MAX(DK28:DL28:DM28))</f>
        <v>0</v>
      </c>
      <c r="DO28" s="115" t="str">
        <f t="shared" si="27"/>
        <v/>
      </c>
      <c r="DP28" s="51" t="str">
        <f t="shared" si="86"/>
        <v/>
      </c>
      <c r="DQ28" s="51"/>
      <c r="DR28" s="49" t="str">
        <f t="shared" si="28"/>
        <v/>
      </c>
      <c r="DS28" s="123">
        <f t="shared" si="29"/>
        <v>0</v>
      </c>
      <c r="DT28" s="123">
        <f t="shared" si="30"/>
        <v>0</v>
      </c>
      <c r="DU28" s="123"/>
      <c r="DV28" s="48">
        <f>IF(OR(DR28="",DR28=0),0,MAX(DS28:DT28:DU28))</f>
        <v>0</v>
      </c>
      <c r="DW28" s="115" t="str">
        <f t="shared" si="31"/>
        <v/>
      </c>
      <c r="DX28" s="51" t="str">
        <f t="shared" si="87"/>
        <v/>
      </c>
      <c r="DY28" s="51"/>
      <c r="DZ28" s="49" t="str">
        <f t="shared" si="32"/>
        <v/>
      </c>
      <c r="EA28" s="123">
        <f t="shared" si="33"/>
        <v>0</v>
      </c>
      <c r="EB28" s="123">
        <f t="shared" si="34"/>
        <v>0</v>
      </c>
      <c r="EC28" s="123"/>
      <c r="ED28" s="48">
        <f>IF(OR(DZ28="",DZ28=0),0,MAX(EA28:EB28:EC28))</f>
        <v>0</v>
      </c>
      <c r="EE28" s="115" t="str">
        <f t="shared" si="35"/>
        <v/>
      </c>
      <c r="EF28" s="51" t="str">
        <f t="shared" si="88"/>
        <v/>
      </c>
      <c r="EG28" s="51"/>
      <c r="EH28" s="49" t="str">
        <f t="shared" si="36"/>
        <v/>
      </c>
      <c r="EI28" s="123">
        <f t="shared" si="37"/>
        <v>0</v>
      </c>
      <c r="EJ28" s="123">
        <f t="shared" si="38"/>
        <v>0</v>
      </c>
      <c r="EK28" s="123"/>
      <c r="EL28" s="48">
        <f>IF(OR(EH28="",EH28=0),0,MAX(EI28:EJ28:EK28))</f>
        <v>0</v>
      </c>
      <c r="EM28" s="115" t="str">
        <f t="shared" si="39"/>
        <v/>
      </c>
      <c r="EN28" s="51" t="str">
        <f t="shared" si="89"/>
        <v/>
      </c>
      <c r="EO28" s="51"/>
      <c r="EP28" s="49" t="str">
        <f t="shared" si="40"/>
        <v/>
      </c>
      <c r="EQ28" s="123">
        <f t="shared" si="41"/>
        <v>0</v>
      </c>
      <c r="ER28" s="123">
        <f t="shared" si="42"/>
        <v>0</v>
      </c>
      <c r="ES28" s="123"/>
      <c r="ET28" s="48">
        <f>IF(OR(EP28="",EP28=0),0,MAX(EQ28:ER28:ES28))</f>
        <v>0</v>
      </c>
      <c r="EU28" s="115" t="str">
        <f t="shared" si="43"/>
        <v/>
      </c>
      <c r="EV28" s="51" t="str">
        <f t="shared" si="90"/>
        <v/>
      </c>
      <c r="EW28" s="51"/>
      <c r="EX28" s="49" t="str">
        <f t="shared" si="44"/>
        <v/>
      </c>
      <c r="EY28" s="123">
        <f t="shared" si="45"/>
        <v>0</v>
      </c>
      <c r="EZ28" s="123">
        <f t="shared" si="46"/>
        <v>0</v>
      </c>
      <c r="FA28" s="123"/>
      <c r="FB28" s="48">
        <f>IF(OR(EX28="",EX28=0),0,MAX(EY28:EZ28:FA28))</f>
        <v>0</v>
      </c>
      <c r="FC28" s="115" t="str">
        <f t="shared" si="47"/>
        <v/>
      </c>
      <c r="FD28" s="51" t="str">
        <f t="shared" si="91"/>
        <v/>
      </c>
      <c r="FE28" s="51"/>
      <c r="FF28" s="49" t="str">
        <f t="shared" si="48"/>
        <v/>
      </c>
      <c r="FG28" s="123">
        <f t="shared" si="49"/>
        <v>0</v>
      </c>
      <c r="FH28" s="123">
        <f t="shared" si="50"/>
        <v>0</v>
      </c>
      <c r="FI28" s="123"/>
      <c r="FJ28" s="48">
        <f>IF(OR(FF28="",FF28=0),0,MAX(FG28:FH28:FI28))</f>
        <v>0</v>
      </c>
      <c r="FK28" s="115" t="str">
        <f t="shared" si="51"/>
        <v/>
      </c>
      <c r="FL28" s="51" t="str">
        <f t="shared" si="92"/>
        <v/>
      </c>
      <c r="FM28" s="51"/>
      <c r="FN28" s="49" t="str">
        <f t="shared" si="52"/>
        <v/>
      </c>
      <c r="FO28" s="123">
        <f t="shared" si="53"/>
        <v>0</v>
      </c>
      <c r="FP28" s="123">
        <f t="shared" si="54"/>
        <v>0</v>
      </c>
      <c r="FQ28" s="123"/>
      <c r="FR28" s="48">
        <f>IF(OR(FN28="",FN28=0),0,MAX(FO28:FP28:FQ28))</f>
        <v>0</v>
      </c>
      <c r="FS28" s="115" t="str">
        <f t="shared" si="55"/>
        <v/>
      </c>
      <c r="FT28" s="51" t="str">
        <f t="shared" si="93"/>
        <v/>
      </c>
      <c r="FU28" s="51"/>
      <c r="FV28" s="49" t="str">
        <f t="shared" si="56"/>
        <v/>
      </c>
      <c r="FW28" s="123">
        <f t="shared" si="57"/>
        <v>0</v>
      </c>
      <c r="FX28" s="123">
        <f t="shared" si="58"/>
        <v>0</v>
      </c>
      <c r="FY28" s="123"/>
      <c r="FZ28" s="48">
        <f>IF(OR(FV28="",FV28=0),0,MAX(FW28:FX28:FY28))</f>
        <v>0</v>
      </c>
      <c r="GA28" s="115" t="str">
        <f t="shared" si="59"/>
        <v/>
      </c>
      <c r="GB28" s="51" t="str">
        <f t="shared" si="94"/>
        <v/>
      </c>
      <c r="GC28" s="51"/>
      <c r="GD28" s="49" t="str">
        <f t="shared" si="60"/>
        <v/>
      </c>
      <c r="GE28" s="123">
        <f t="shared" si="61"/>
        <v>0</v>
      </c>
      <c r="GF28" s="123">
        <f t="shared" si="62"/>
        <v>0</v>
      </c>
      <c r="GG28" s="123"/>
      <c r="GH28" s="48">
        <f>IF(OR(GD28="",GD28=0),0,MAX(GE28:GF28:GG28))</f>
        <v>0</v>
      </c>
    </row>
    <row r="29" spans="1:190" s="16" customFormat="1" ht="18" customHeight="1" thickTop="1" thickBot="1" x14ac:dyDescent="0.35">
      <c r="A29" s="902" t="str">
        <f t="shared" si="63"/>
        <v/>
      </c>
      <c r="B29" s="826" t="str">
        <f t="shared" si="64"/>
        <v/>
      </c>
      <c r="C29" s="843" t="str">
        <f>IF(B29="","",SUM(B$26:B29))</f>
        <v/>
      </c>
      <c r="D29" s="958"/>
      <c r="E29" s="959"/>
      <c r="F29" s="948" t="str">
        <f t="shared" ref="F29:F35" si="100">IF($D29="","",IF($F$26="","",$F$26))</f>
        <v/>
      </c>
      <c r="G29" s="961"/>
      <c r="H29" s="962"/>
      <c r="I29" s="963" t="str">
        <f t="shared" si="3"/>
        <v/>
      </c>
      <c r="J29" s="964" t="str">
        <f t="shared" si="4"/>
        <v/>
      </c>
      <c r="K29" s="965">
        <f t="shared" si="5"/>
        <v>0</v>
      </c>
      <c r="L29" s="966">
        <f t="shared" si="6"/>
        <v>0</v>
      </c>
      <c r="M29" s="955"/>
      <c r="N29" s="956"/>
      <c r="O29" s="949"/>
      <c r="P29" s="927" t="str">
        <f>IF(M29="","",IF(O29="",ABS(M29)*(1+'Cálculo-Instalação Colectiva-MP'!$L$13),ABS(M29)+O29))</f>
        <v/>
      </c>
      <c r="Q29" s="928" t="str">
        <f t="shared" si="7"/>
        <v/>
      </c>
      <c r="R29" s="935" t="str">
        <f t="shared" si="8"/>
        <v/>
      </c>
      <c r="S29" s="111" t="str">
        <f t="shared" si="9"/>
        <v/>
      </c>
      <c r="T29" s="926"/>
      <c r="U29" s="610" t="str">
        <f t="shared" si="10"/>
        <v/>
      </c>
      <c r="V29" s="936" t="str">
        <f>IF(OR(S29="",S29=0),"",IF($U29&gt;'Quadro 3'!$F$23,'Quadro 3'!$F$23,IF($U29&lt;'Quadro 3'!$F$10,'Quadro 3'!$F$10,MIN($W29,$X29))))</f>
        <v/>
      </c>
      <c r="W29" s="937" t="str">
        <f>IF(AND(AW29&lt;&gt;2,$U29&lt;='Quadro 3'!$F$10),'Quadro 3'!$F$10,IF($U29&lt;='Quadro 3'!$F$11,'Quadro 3'!$F$11,IF($U29&lt;='Quadro 3'!$F$12,'Quadro 3'!$F$12,IF($U29&lt;='Quadro 3'!$F$13,'Quadro 3'!$F$13,IF($U29&lt;='Quadro 3'!$F$14,'Quadro 3'!$F$14,IF($U29&lt;='Quadro 3'!$F$15,'Quadro 3'!$F$15,IF($U29&lt;='Quadro 3'!$F$16,'Quadro 3'!$F$16,"")))))))</f>
        <v/>
      </c>
      <c r="X29" s="938" t="str">
        <f>IF(OR(S29="",S29=0),"",IF($U29&lt;='Quadro 3'!$F$17,'Quadro 3'!$F$17,IF($U29&lt;='Quadro 3'!$F$18,'Quadro 3'!$F$18,IF($U29&lt;='Quadro 3'!$F$19,'Quadro 3'!$F$19,IF($U29&lt;='Quadro 3'!$F$20,'Quadro 3'!$F$20,IF($U29&lt;='Quadro 3'!$F$21,'Quadro 3'!$F$21,IF($U29&lt;='Quadro 3'!$F$22,'Quadro 3'!$F$22,IF($U29&lt;='Quadro 3'!$F$23,'Quadro 3'!$F$23,'Quadro 3'!$F$23))))))))</f>
        <v/>
      </c>
      <c r="Y29" s="936" t="str">
        <f>IF($V29="","",LOOKUP($V29,'Quadro 3'!$F$9:$F$23,'Quadro 3'!$G$9:$G$23))</f>
        <v/>
      </c>
      <c r="Z29" s="1129" t="str">
        <f>IF($V29="","",LOOKUP($V29,'Quadro 3'!$F$9:$F$23,'Quadro 3'!$D$9:$D$23))</f>
        <v/>
      </c>
      <c r="AA29" s="939" t="str">
        <f>IF($V29="","",LOOKUP($V29,'Quadro 3'!$F$9:$F$23,'Quadro 3'!$E$9:$E$23))</f>
        <v/>
      </c>
      <c r="AB29" s="929" t="str">
        <f t="shared" si="11"/>
        <v/>
      </c>
      <c r="AC29" s="930" t="str">
        <f t="shared" si="65"/>
        <v/>
      </c>
      <c r="AD29" s="1121" t="str">
        <f t="shared" si="66"/>
        <v/>
      </c>
      <c r="AE29" s="1123" t="str">
        <f t="shared" si="95"/>
        <v/>
      </c>
      <c r="AF29" s="931" t="str">
        <f t="shared" si="12"/>
        <v/>
      </c>
      <c r="AG29" s="932" t="str">
        <f t="shared" si="13"/>
        <v/>
      </c>
      <c r="AH29" s="1153" t="str">
        <f t="shared" si="14"/>
        <v/>
      </c>
      <c r="AI29" s="1154"/>
      <c r="AJ29" s="940"/>
      <c r="AK29" s="941"/>
      <c r="AL29" s="933" t="str">
        <f t="shared" si="96"/>
        <v/>
      </c>
      <c r="AM29" s="1153" t="str">
        <f t="shared" si="15"/>
        <v/>
      </c>
      <c r="AN29" s="1154"/>
      <c r="AO29" s="17"/>
      <c r="AP29" s="909" t="str">
        <f t="shared" si="67"/>
        <v/>
      </c>
      <c r="AV29" s="1117">
        <f t="shared" si="68"/>
        <v>0</v>
      </c>
      <c r="AW29" s="906" t="str">
        <f>IF(OR('Cálculo-Instalação Colectiva-MP'!$I$5&lt;&gt;1,S29="",S29=0),"",IF(OR(AND(G29&lt;&gt;"",H29=""),AND(G29="",H29&lt;&gt;"")),1,2))</f>
        <v/>
      </c>
      <c r="AY29" s="241">
        <f t="shared" si="16"/>
        <v>0</v>
      </c>
      <c r="AZ29" s="263" t="str">
        <f t="shared" si="17"/>
        <v/>
      </c>
      <c r="BA29" s="263" t="str">
        <f t="shared" si="18"/>
        <v/>
      </c>
      <c r="BB29" s="263"/>
      <c r="BI29" s="350" t="str">
        <f t="shared" si="69"/>
        <v>0</v>
      </c>
      <c r="BJ29" s="350">
        <f t="shared" si="70"/>
        <v>0</v>
      </c>
      <c r="BM29" s="911" t="str">
        <f t="shared" si="71"/>
        <v/>
      </c>
      <c r="BV29" s="350" t="str">
        <f t="shared" si="72"/>
        <v/>
      </c>
      <c r="BW29" s="235" t="str">
        <f t="shared" si="73"/>
        <v/>
      </c>
      <c r="BX29" s="235" t="str">
        <f t="shared" si="74"/>
        <v/>
      </c>
      <c r="BY29" s="235" t="str">
        <f t="shared" si="75"/>
        <v/>
      </c>
      <c r="BZ29" s="235" t="str">
        <f t="shared" si="76"/>
        <v/>
      </c>
      <c r="CA29" s="235" t="str">
        <f t="shared" si="77"/>
        <v/>
      </c>
      <c r="CB29" s="235" t="str">
        <f t="shared" si="78"/>
        <v/>
      </c>
      <c r="CC29" s="235" t="str">
        <f t="shared" si="79"/>
        <v/>
      </c>
      <c r="CD29" s="235" t="str">
        <f t="shared" si="80"/>
        <v/>
      </c>
      <c r="CE29" s="235" t="str">
        <f t="shared" si="81"/>
        <v/>
      </c>
      <c r="CF29" s="235" t="str">
        <f t="shared" si="82"/>
        <v/>
      </c>
      <c r="CQ29" s="2">
        <v>4</v>
      </c>
      <c r="CV29" s="209" t="str">
        <f t="shared" si="97"/>
        <v/>
      </c>
      <c r="CW29" s="204" t="str">
        <f t="shared" si="98"/>
        <v/>
      </c>
      <c r="CX29" s="43">
        <f t="shared" si="99"/>
        <v>0</v>
      </c>
      <c r="CY29" s="163" t="str">
        <f t="shared" si="19"/>
        <v/>
      </c>
      <c r="CZ29" s="45" t="str">
        <f t="shared" si="20"/>
        <v/>
      </c>
      <c r="DA29" s="46">
        <f t="shared" si="21"/>
        <v>0</v>
      </c>
      <c r="DB29" s="47" t="str">
        <f t="shared" si="22"/>
        <v/>
      </c>
      <c r="DC29" s="123">
        <f t="shared" si="23"/>
        <v>0</v>
      </c>
      <c r="DD29" s="123">
        <f t="shared" si="24"/>
        <v>0</v>
      </c>
      <c r="DE29" s="123"/>
      <c r="DF29" s="48">
        <f>IF(OR(DB29="",DB29=0),0,MAX(DC29:DD29:DE29))</f>
        <v>0</v>
      </c>
      <c r="DG29" s="115" t="str">
        <f t="shared" si="83"/>
        <v/>
      </c>
      <c r="DH29" s="51" t="str">
        <f t="shared" si="84"/>
        <v/>
      </c>
      <c r="DI29" s="51"/>
      <c r="DJ29" s="49" t="str">
        <f t="shared" si="85"/>
        <v/>
      </c>
      <c r="DK29" s="123">
        <f t="shared" si="25"/>
        <v>0</v>
      </c>
      <c r="DL29" s="123">
        <f t="shared" si="26"/>
        <v>0</v>
      </c>
      <c r="DM29" s="123"/>
      <c r="DN29" s="48">
        <f>IF(OR(DJ29="",DJ29=0),0,MAX(DK29:DL29:DM29))</f>
        <v>0</v>
      </c>
      <c r="DO29" s="115" t="str">
        <f t="shared" si="27"/>
        <v/>
      </c>
      <c r="DP29" s="51" t="str">
        <f t="shared" si="86"/>
        <v/>
      </c>
      <c r="DQ29" s="51"/>
      <c r="DR29" s="49" t="str">
        <f t="shared" si="28"/>
        <v/>
      </c>
      <c r="DS29" s="123">
        <f t="shared" si="29"/>
        <v>0</v>
      </c>
      <c r="DT29" s="123">
        <f t="shared" si="30"/>
        <v>0</v>
      </c>
      <c r="DU29" s="123"/>
      <c r="DV29" s="48">
        <f>IF(OR(DR29="",DR29=0),0,MAX(DS29:DT29:DU29))</f>
        <v>0</v>
      </c>
      <c r="DW29" s="115" t="str">
        <f t="shared" si="31"/>
        <v/>
      </c>
      <c r="DX29" s="51" t="str">
        <f t="shared" si="87"/>
        <v/>
      </c>
      <c r="DY29" s="51"/>
      <c r="DZ29" s="49" t="str">
        <f t="shared" si="32"/>
        <v/>
      </c>
      <c r="EA29" s="123">
        <f t="shared" si="33"/>
        <v>0</v>
      </c>
      <c r="EB29" s="123">
        <f t="shared" si="34"/>
        <v>0</v>
      </c>
      <c r="EC29" s="123"/>
      <c r="ED29" s="48">
        <f>IF(OR(DZ29="",DZ29=0),0,MAX(EA29:EB29:EC29))</f>
        <v>0</v>
      </c>
      <c r="EE29" s="115" t="str">
        <f t="shared" si="35"/>
        <v/>
      </c>
      <c r="EF29" s="51" t="str">
        <f t="shared" si="88"/>
        <v/>
      </c>
      <c r="EG29" s="51"/>
      <c r="EH29" s="49" t="str">
        <f t="shared" si="36"/>
        <v/>
      </c>
      <c r="EI29" s="123">
        <f t="shared" si="37"/>
        <v>0</v>
      </c>
      <c r="EJ29" s="123">
        <f t="shared" si="38"/>
        <v>0</v>
      </c>
      <c r="EK29" s="123"/>
      <c r="EL29" s="48">
        <f>IF(OR(EH29="",EH29=0),0,MAX(EI29:EJ29:EK29))</f>
        <v>0</v>
      </c>
      <c r="EM29" s="115" t="str">
        <f t="shared" si="39"/>
        <v/>
      </c>
      <c r="EN29" s="51" t="str">
        <f t="shared" si="89"/>
        <v/>
      </c>
      <c r="EO29" s="51"/>
      <c r="EP29" s="49" t="str">
        <f t="shared" si="40"/>
        <v/>
      </c>
      <c r="EQ29" s="123">
        <f t="shared" si="41"/>
        <v>0</v>
      </c>
      <c r="ER29" s="123">
        <f t="shared" si="42"/>
        <v>0</v>
      </c>
      <c r="ES29" s="123"/>
      <c r="ET29" s="48">
        <f>IF(OR(EP29="",EP29=0),0,MAX(EQ29:ER29:ES29))</f>
        <v>0</v>
      </c>
      <c r="EU29" s="115" t="str">
        <f t="shared" si="43"/>
        <v/>
      </c>
      <c r="EV29" s="51" t="str">
        <f t="shared" si="90"/>
        <v/>
      </c>
      <c r="EW29" s="51"/>
      <c r="EX29" s="49" t="str">
        <f t="shared" si="44"/>
        <v/>
      </c>
      <c r="EY29" s="123">
        <f t="shared" si="45"/>
        <v>0</v>
      </c>
      <c r="EZ29" s="123">
        <f t="shared" si="46"/>
        <v>0</v>
      </c>
      <c r="FA29" s="123"/>
      <c r="FB29" s="48">
        <f>IF(OR(EX29="",EX29=0),0,MAX(EY29:EZ29:FA29))</f>
        <v>0</v>
      </c>
      <c r="FC29" s="115" t="str">
        <f t="shared" si="47"/>
        <v/>
      </c>
      <c r="FD29" s="51" t="str">
        <f t="shared" si="91"/>
        <v/>
      </c>
      <c r="FE29" s="51"/>
      <c r="FF29" s="49" t="str">
        <f t="shared" si="48"/>
        <v/>
      </c>
      <c r="FG29" s="123">
        <f t="shared" si="49"/>
        <v>0</v>
      </c>
      <c r="FH29" s="123">
        <f t="shared" si="50"/>
        <v>0</v>
      </c>
      <c r="FI29" s="123"/>
      <c r="FJ29" s="48">
        <f>IF(OR(FF29="",FF29=0),0,MAX(FG29:FH29:FI29))</f>
        <v>0</v>
      </c>
      <c r="FK29" s="115" t="str">
        <f t="shared" si="51"/>
        <v/>
      </c>
      <c r="FL29" s="51" t="str">
        <f t="shared" si="92"/>
        <v/>
      </c>
      <c r="FM29" s="51"/>
      <c r="FN29" s="49" t="str">
        <f t="shared" si="52"/>
        <v/>
      </c>
      <c r="FO29" s="123">
        <f t="shared" si="53"/>
        <v>0</v>
      </c>
      <c r="FP29" s="123">
        <f t="shared" si="54"/>
        <v>0</v>
      </c>
      <c r="FQ29" s="123"/>
      <c r="FR29" s="48">
        <f>IF(OR(FN29="",FN29=0),0,MAX(FO29:FP29:FQ29))</f>
        <v>0</v>
      </c>
      <c r="FS29" s="115" t="str">
        <f t="shared" si="55"/>
        <v/>
      </c>
      <c r="FT29" s="51" t="str">
        <f t="shared" si="93"/>
        <v/>
      </c>
      <c r="FU29" s="51"/>
      <c r="FV29" s="49" t="str">
        <f t="shared" si="56"/>
        <v/>
      </c>
      <c r="FW29" s="123">
        <f t="shared" si="57"/>
        <v>0</v>
      </c>
      <c r="FX29" s="123">
        <f t="shared" si="58"/>
        <v>0</v>
      </c>
      <c r="FY29" s="123"/>
      <c r="FZ29" s="48">
        <f>IF(OR(FV29="",FV29=0),0,MAX(FW29:FX29:FY29))</f>
        <v>0</v>
      </c>
      <c r="GA29" s="115" t="str">
        <f t="shared" si="59"/>
        <v/>
      </c>
      <c r="GB29" s="51" t="str">
        <f t="shared" si="94"/>
        <v/>
      </c>
      <c r="GC29" s="51"/>
      <c r="GD29" s="49" t="str">
        <f t="shared" si="60"/>
        <v/>
      </c>
      <c r="GE29" s="123">
        <f t="shared" si="61"/>
        <v>0</v>
      </c>
      <c r="GF29" s="123">
        <f t="shared" si="62"/>
        <v>0</v>
      </c>
      <c r="GG29" s="123"/>
      <c r="GH29" s="48">
        <f>IF(OR(GD29="",GD29=0),0,MAX(GE29:GF29:GG29))</f>
        <v>0</v>
      </c>
    </row>
    <row r="30" spans="1:190" s="16" customFormat="1" ht="18" customHeight="1" thickTop="1" thickBot="1" x14ac:dyDescent="0.35">
      <c r="A30" s="902" t="str">
        <f t="shared" si="63"/>
        <v/>
      </c>
      <c r="B30" s="826" t="str">
        <f t="shared" si="64"/>
        <v/>
      </c>
      <c r="C30" s="843" t="str">
        <f>IF(B30="","",SUM(B$26:B30))</f>
        <v/>
      </c>
      <c r="D30" s="958"/>
      <c r="E30" s="959"/>
      <c r="F30" s="948" t="str">
        <f t="shared" si="100"/>
        <v/>
      </c>
      <c r="G30" s="961"/>
      <c r="H30" s="962"/>
      <c r="I30" s="963" t="str">
        <f t="shared" si="3"/>
        <v/>
      </c>
      <c r="J30" s="964" t="str">
        <f t="shared" si="4"/>
        <v/>
      </c>
      <c r="K30" s="965">
        <f t="shared" si="5"/>
        <v>0</v>
      </c>
      <c r="L30" s="966">
        <f t="shared" si="6"/>
        <v>0</v>
      </c>
      <c r="M30" s="955"/>
      <c r="N30" s="956"/>
      <c r="O30" s="949"/>
      <c r="P30" s="927" t="str">
        <f>IF(M30="","",IF(O30="",ABS(M30)*(1+'Cálculo-Instalação Colectiva-MP'!$L$13),ABS(M30)+O30))</f>
        <v/>
      </c>
      <c r="Q30" s="928" t="str">
        <f t="shared" si="7"/>
        <v/>
      </c>
      <c r="R30" s="935" t="str">
        <f t="shared" si="8"/>
        <v/>
      </c>
      <c r="S30" s="111" t="str">
        <f t="shared" si="9"/>
        <v/>
      </c>
      <c r="T30" s="926"/>
      <c r="U30" s="610" t="str">
        <f t="shared" si="10"/>
        <v/>
      </c>
      <c r="V30" s="936" t="str">
        <f>IF(OR(S30="",S30=0),"",IF($U30&gt;'Quadro 3'!$F$23,'Quadro 3'!$F$23,IF($U30&lt;'Quadro 3'!$F$10,'Quadro 3'!$F$10,MIN($W30,$X30))))</f>
        <v/>
      </c>
      <c r="W30" s="937" t="str">
        <f>IF(AND(AW30&lt;&gt;2,$U30&lt;='Quadro 3'!$F$10),'Quadro 3'!$F$10,IF($U30&lt;='Quadro 3'!$F$11,'Quadro 3'!$F$11,IF($U30&lt;='Quadro 3'!$F$12,'Quadro 3'!$F$12,IF($U30&lt;='Quadro 3'!$F$13,'Quadro 3'!$F$13,IF($U30&lt;='Quadro 3'!$F$14,'Quadro 3'!$F$14,IF($U30&lt;='Quadro 3'!$F$15,'Quadro 3'!$F$15,IF($U30&lt;='Quadro 3'!$F$16,'Quadro 3'!$F$16,"")))))))</f>
        <v/>
      </c>
      <c r="X30" s="938" t="str">
        <f>IF(OR(S30="",S30=0),"",IF($U30&lt;='Quadro 3'!$F$17,'Quadro 3'!$F$17,IF($U30&lt;='Quadro 3'!$F$18,'Quadro 3'!$F$18,IF($U30&lt;='Quadro 3'!$F$19,'Quadro 3'!$F$19,IF($U30&lt;='Quadro 3'!$F$20,'Quadro 3'!$F$20,IF($U30&lt;='Quadro 3'!$F$21,'Quadro 3'!$F$21,IF($U30&lt;='Quadro 3'!$F$22,'Quadro 3'!$F$22,IF($U30&lt;='Quadro 3'!$F$23,'Quadro 3'!$F$23,'Quadro 3'!$F$23))))))))</f>
        <v/>
      </c>
      <c r="Y30" s="936" t="str">
        <f>IF($V30="","",LOOKUP($V30,'Quadro 3'!$F$9:$F$23,'Quadro 3'!$G$9:$G$23))</f>
        <v/>
      </c>
      <c r="Z30" s="1129" t="str">
        <f>IF($V30="","",LOOKUP($V30,'Quadro 3'!$F$9:$F$23,'Quadro 3'!$D$9:$D$23))</f>
        <v/>
      </c>
      <c r="AA30" s="939" t="str">
        <f>IF($V30="","",LOOKUP($V30,'Quadro 3'!$F$9:$F$23,'Quadro 3'!$E$9:$E$23))</f>
        <v/>
      </c>
      <c r="AB30" s="929" t="str">
        <f t="shared" si="11"/>
        <v/>
      </c>
      <c r="AC30" s="930" t="str">
        <f t="shared" si="65"/>
        <v/>
      </c>
      <c r="AD30" s="1121" t="str">
        <f t="shared" si="66"/>
        <v/>
      </c>
      <c r="AE30" s="1123" t="str">
        <f t="shared" si="95"/>
        <v/>
      </c>
      <c r="AF30" s="931" t="str">
        <f t="shared" si="12"/>
        <v/>
      </c>
      <c r="AG30" s="932" t="str">
        <f t="shared" si="13"/>
        <v/>
      </c>
      <c r="AH30" s="1153" t="str">
        <f t="shared" si="14"/>
        <v/>
      </c>
      <c r="AI30" s="1154"/>
      <c r="AJ30" s="940"/>
      <c r="AK30" s="941"/>
      <c r="AL30" s="933" t="str">
        <f t="shared" si="96"/>
        <v/>
      </c>
      <c r="AM30" s="1153" t="str">
        <f t="shared" si="15"/>
        <v/>
      </c>
      <c r="AN30" s="1154"/>
      <c r="AO30" s="17"/>
      <c r="AP30" s="909" t="str">
        <f t="shared" si="67"/>
        <v/>
      </c>
      <c r="AV30" s="1117">
        <f t="shared" si="68"/>
        <v>0</v>
      </c>
      <c r="AW30" s="906" t="str">
        <f>IF(OR('Cálculo-Instalação Colectiva-MP'!$I$5&lt;&gt;1,S30="",S30=0),"",IF(OR(AND(G30&lt;&gt;"",H30=""),AND(G30="",H30&lt;&gt;"")),1,2))</f>
        <v/>
      </c>
      <c r="AY30" s="241">
        <f t="shared" si="16"/>
        <v>0</v>
      </c>
      <c r="AZ30" s="263" t="str">
        <f t="shared" si="17"/>
        <v/>
      </c>
      <c r="BA30" s="263" t="str">
        <f t="shared" si="18"/>
        <v/>
      </c>
      <c r="BB30" s="263"/>
      <c r="BI30" s="350" t="str">
        <f t="shared" si="69"/>
        <v>0</v>
      </c>
      <c r="BJ30" s="350">
        <f t="shared" si="70"/>
        <v>0</v>
      </c>
      <c r="BM30" s="911" t="str">
        <f t="shared" si="71"/>
        <v/>
      </c>
      <c r="BV30" s="350" t="str">
        <f t="shared" si="72"/>
        <v/>
      </c>
      <c r="BW30" s="235" t="str">
        <f t="shared" si="73"/>
        <v/>
      </c>
      <c r="BX30" s="235" t="str">
        <f t="shared" si="74"/>
        <v/>
      </c>
      <c r="BY30" s="235" t="str">
        <f t="shared" si="75"/>
        <v/>
      </c>
      <c r="BZ30" s="235" t="str">
        <f t="shared" si="76"/>
        <v/>
      </c>
      <c r="CA30" s="235" t="str">
        <f t="shared" si="77"/>
        <v/>
      </c>
      <c r="CB30" s="235" t="str">
        <f t="shared" si="78"/>
        <v/>
      </c>
      <c r="CC30" s="235" t="str">
        <f t="shared" si="79"/>
        <v/>
      </c>
      <c r="CD30" s="235" t="str">
        <f t="shared" si="80"/>
        <v/>
      </c>
      <c r="CE30" s="235" t="str">
        <f t="shared" si="81"/>
        <v/>
      </c>
      <c r="CF30" s="235" t="str">
        <f t="shared" si="82"/>
        <v/>
      </c>
      <c r="CQ30" s="2">
        <v>5</v>
      </c>
      <c r="CV30" s="209" t="str">
        <f t="shared" si="97"/>
        <v/>
      </c>
      <c r="CW30" s="204" t="str">
        <f t="shared" si="98"/>
        <v/>
      </c>
      <c r="CX30" s="43">
        <f t="shared" si="99"/>
        <v>0</v>
      </c>
      <c r="CY30" s="163" t="str">
        <f t="shared" si="19"/>
        <v/>
      </c>
      <c r="CZ30" s="45" t="str">
        <f t="shared" si="20"/>
        <v/>
      </c>
      <c r="DA30" s="46">
        <f t="shared" si="21"/>
        <v>0</v>
      </c>
      <c r="DB30" s="47" t="str">
        <f t="shared" si="22"/>
        <v/>
      </c>
      <c r="DC30" s="123">
        <f t="shared" si="23"/>
        <v>0</v>
      </c>
      <c r="DD30" s="123">
        <f t="shared" si="24"/>
        <v>0</v>
      </c>
      <c r="DE30" s="123"/>
      <c r="DF30" s="48">
        <f>IF(OR(DB30="",DB30=0),0,MAX(DC30:DD30:DE30))</f>
        <v>0</v>
      </c>
      <c r="DG30" s="115" t="str">
        <f t="shared" si="83"/>
        <v/>
      </c>
      <c r="DH30" s="51" t="str">
        <f t="shared" si="84"/>
        <v/>
      </c>
      <c r="DI30" s="51"/>
      <c r="DJ30" s="49" t="str">
        <f t="shared" si="85"/>
        <v/>
      </c>
      <c r="DK30" s="123">
        <f t="shared" si="25"/>
        <v>0</v>
      </c>
      <c r="DL30" s="123">
        <f t="shared" si="26"/>
        <v>0</v>
      </c>
      <c r="DM30" s="123"/>
      <c r="DN30" s="48">
        <f>IF(OR(DJ30="",DJ30=0),0,MAX(DK30:DL30:DM30))</f>
        <v>0</v>
      </c>
      <c r="DO30" s="115" t="str">
        <f t="shared" si="27"/>
        <v/>
      </c>
      <c r="DP30" s="51" t="str">
        <f t="shared" si="86"/>
        <v/>
      </c>
      <c r="DQ30" s="51"/>
      <c r="DR30" s="49" t="str">
        <f t="shared" si="28"/>
        <v/>
      </c>
      <c r="DS30" s="123">
        <f t="shared" si="29"/>
        <v>0</v>
      </c>
      <c r="DT30" s="123">
        <f t="shared" si="30"/>
        <v>0</v>
      </c>
      <c r="DU30" s="123"/>
      <c r="DV30" s="48">
        <f>IF(OR(DR30="",DR30=0),0,MAX(DS30:DT30:DU30))</f>
        <v>0</v>
      </c>
      <c r="DW30" s="115" t="str">
        <f t="shared" si="31"/>
        <v/>
      </c>
      <c r="DX30" s="51" t="str">
        <f t="shared" si="87"/>
        <v/>
      </c>
      <c r="DY30" s="51"/>
      <c r="DZ30" s="49" t="str">
        <f t="shared" si="32"/>
        <v/>
      </c>
      <c r="EA30" s="123">
        <f t="shared" si="33"/>
        <v>0</v>
      </c>
      <c r="EB30" s="123">
        <f t="shared" si="34"/>
        <v>0</v>
      </c>
      <c r="EC30" s="123"/>
      <c r="ED30" s="48">
        <f>IF(OR(DZ30="",DZ30=0),0,MAX(EA30:EB30:EC30))</f>
        <v>0</v>
      </c>
      <c r="EE30" s="115" t="str">
        <f t="shared" si="35"/>
        <v/>
      </c>
      <c r="EF30" s="51" t="str">
        <f t="shared" si="88"/>
        <v/>
      </c>
      <c r="EG30" s="51"/>
      <c r="EH30" s="49" t="str">
        <f t="shared" si="36"/>
        <v/>
      </c>
      <c r="EI30" s="123">
        <f t="shared" si="37"/>
        <v>0</v>
      </c>
      <c r="EJ30" s="123">
        <f t="shared" si="38"/>
        <v>0</v>
      </c>
      <c r="EK30" s="123"/>
      <c r="EL30" s="48">
        <f>IF(OR(EH30="",EH30=0),0,MAX(EI30:EJ30:EK30))</f>
        <v>0</v>
      </c>
      <c r="EM30" s="115" t="str">
        <f t="shared" si="39"/>
        <v/>
      </c>
      <c r="EN30" s="51" t="str">
        <f t="shared" si="89"/>
        <v/>
      </c>
      <c r="EO30" s="51"/>
      <c r="EP30" s="49" t="str">
        <f t="shared" si="40"/>
        <v/>
      </c>
      <c r="EQ30" s="123">
        <f t="shared" si="41"/>
        <v>0</v>
      </c>
      <c r="ER30" s="123">
        <f t="shared" si="42"/>
        <v>0</v>
      </c>
      <c r="ES30" s="123"/>
      <c r="ET30" s="48">
        <f>IF(OR(EP30="",EP30=0),0,MAX(EQ30:ER30:ES30))</f>
        <v>0</v>
      </c>
      <c r="EU30" s="115" t="str">
        <f t="shared" si="43"/>
        <v/>
      </c>
      <c r="EV30" s="51" t="str">
        <f t="shared" si="90"/>
        <v/>
      </c>
      <c r="EW30" s="51"/>
      <c r="EX30" s="49" t="str">
        <f t="shared" si="44"/>
        <v/>
      </c>
      <c r="EY30" s="123">
        <f t="shared" si="45"/>
        <v>0</v>
      </c>
      <c r="EZ30" s="123">
        <f t="shared" si="46"/>
        <v>0</v>
      </c>
      <c r="FA30" s="123"/>
      <c r="FB30" s="48">
        <f>IF(OR(EX30="",EX30=0),0,MAX(EY30:EZ30:FA30))</f>
        <v>0</v>
      </c>
      <c r="FC30" s="115" t="str">
        <f t="shared" si="47"/>
        <v/>
      </c>
      <c r="FD30" s="51" t="str">
        <f t="shared" si="91"/>
        <v/>
      </c>
      <c r="FE30" s="51"/>
      <c r="FF30" s="49" t="str">
        <f t="shared" si="48"/>
        <v/>
      </c>
      <c r="FG30" s="123">
        <f t="shared" si="49"/>
        <v>0</v>
      </c>
      <c r="FH30" s="123">
        <f t="shared" si="50"/>
        <v>0</v>
      </c>
      <c r="FI30" s="123"/>
      <c r="FJ30" s="48">
        <f>IF(OR(FF30="",FF30=0),0,MAX(FG30:FH30:FI30))</f>
        <v>0</v>
      </c>
      <c r="FK30" s="115" t="str">
        <f t="shared" si="51"/>
        <v/>
      </c>
      <c r="FL30" s="51" t="str">
        <f t="shared" si="92"/>
        <v/>
      </c>
      <c r="FM30" s="51"/>
      <c r="FN30" s="49" t="str">
        <f t="shared" si="52"/>
        <v/>
      </c>
      <c r="FO30" s="123">
        <f t="shared" si="53"/>
        <v>0</v>
      </c>
      <c r="FP30" s="123">
        <f t="shared" si="54"/>
        <v>0</v>
      </c>
      <c r="FQ30" s="123"/>
      <c r="FR30" s="48">
        <f>IF(OR(FN30="",FN30=0),0,MAX(FO30:FP30:FQ30))</f>
        <v>0</v>
      </c>
      <c r="FS30" s="115" t="str">
        <f t="shared" si="55"/>
        <v/>
      </c>
      <c r="FT30" s="51" t="str">
        <f t="shared" si="93"/>
        <v/>
      </c>
      <c r="FU30" s="51"/>
      <c r="FV30" s="49" t="str">
        <f t="shared" si="56"/>
        <v/>
      </c>
      <c r="FW30" s="123">
        <f t="shared" si="57"/>
        <v>0</v>
      </c>
      <c r="FX30" s="123">
        <f t="shared" si="58"/>
        <v>0</v>
      </c>
      <c r="FY30" s="123"/>
      <c r="FZ30" s="48">
        <f>IF(OR(FV30="",FV30=0),0,MAX(FW30:FX30:FY30))</f>
        <v>0</v>
      </c>
      <c r="GA30" s="115" t="str">
        <f t="shared" si="59"/>
        <v/>
      </c>
      <c r="GB30" s="51" t="str">
        <f t="shared" si="94"/>
        <v/>
      </c>
      <c r="GC30" s="51"/>
      <c r="GD30" s="49" t="str">
        <f t="shared" si="60"/>
        <v/>
      </c>
      <c r="GE30" s="123">
        <f t="shared" si="61"/>
        <v>0</v>
      </c>
      <c r="GF30" s="123">
        <f t="shared" si="62"/>
        <v>0</v>
      </c>
      <c r="GG30" s="123"/>
      <c r="GH30" s="48">
        <f>IF(OR(GD30="",GD30=0),0,MAX(GE30:GF30:GG30))</f>
        <v>0</v>
      </c>
    </row>
    <row r="31" spans="1:190" s="16" customFormat="1" ht="18" customHeight="1" thickTop="1" thickBot="1" x14ac:dyDescent="0.35">
      <c r="A31" s="902" t="str">
        <f t="shared" si="63"/>
        <v/>
      </c>
      <c r="B31" s="826" t="str">
        <f t="shared" si="64"/>
        <v/>
      </c>
      <c r="C31" s="843" t="str">
        <f>IF(B31="","",SUM(B$26:B31))</f>
        <v/>
      </c>
      <c r="D31" s="958"/>
      <c r="E31" s="959"/>
      <c r="F31" s="948" t="str">
        <f t="shared" si="100"/>
        <v/>
      </c>
      <c r="G31" s="961"/>
      <c r="H31" s="962"/>
      <c r="I31" s="963" t="str">
        <f t="shared" si="3"/>
        <v/>
      </c>
      <c r="J31" s="964" t="str">
        <f t="shared" si="4"/>
        <v/>
      </c>
      <c r="K31" s="965">
        <f t="shared" si="5"/>
        <v>0</v>
      </c>
      <c r="L31" s="966">
        <f t="shared" si="6"/>
        <v>0</v>
      </c>
      <c r="M31" s="955"/>
      <c r="N31" s="956"/>
      <c r="O31" s="949"/>
      <c r="P31" s="927" t="str">
        <f>IF(M31="","",IF(O31="",ABS(M31)*(1+'Cálculo-Instalação Colectiva-MP'!$L$13),ABS(M31)+O31))</f>
        <v/>
      </c>
      <c r="Q31" s="928" t="str">
        <f t="shared" si="7"/>
        <v/>
      </c>
      <c r="R31" s="935" t="str">
        <f t="shared" si="8"/>
        <v/>
      </c>
      <c r="S31" s="111" t="str">
        <f t="shared" si="9"/>
        <v/>
      </c>
      <c r="T31" s="926"/>
      <c r="U31" s="610" t="str">
        <f t="shared" si="10"/>
        <v/>
      </c>
      <c r="V31" s="936" t="str">
        <f>IF(OR(S31="",S31=0),"",IF($U31&gt;'Quadro 3'!$F$23,'Quadro 3'!$F$23,IF($U31&lt;'Quadro 3'!$F$10,'Quadro 3'!$F$10,MIN($W31,$X31))))</f>
        <v/>
      </c>
      <c r="W31" s="937" t="str">
        <f>IF(AND(AW31&lt;&gt;2,$U31&lt;='Quadro 3'!$F$10),'Quadro 3'!$F$10,IF($U31&lt;='Quadro 3'!$F$11,'Quadro 3'!$F$11,IF($U31&lt;='Quadro 3'!$F$12,'Quadro 3'!$F$12,IF($U31&lt;='Quadro 3'!$F$13,'Quadro 3'!$F$13,IF($U31&lt;='Quadro 3'!$F$14,'Quadro 3'!$F$14,IF($U31&lt;='Quadro 3'!$F$15,'Quadro 3'!$F$15,IF($U31&lt;='Quadro 3'!$F$16,'Quadro 3'!$F$16,"")))))))</f>
        <v/>
      </c>
      <c r="X31" s="938" t="str">
        <f>IF(OR(S31="",S31=0),"",IF($U31&lt;='Quadro 3'!$F$17,'Quadro 3'!$F$17,IF($U31&lt;='Quadro 3'!$F$18,'Quadro 3'!$F$18,IF($U31&lt;='Quadro 3'!$F$19,'Quadro 3'!$F$19,IF($U31&lt;='Quadro 3'!$F$20,'Quadro 3'!$F$20,IF($U31&lt;='Quadro 3'!$F$21,'Quadro 3'!$F$21,IF($U31&lt;='Quadro 3'!$F$22,'Quadro 3'!$F$22,IF($U31&lt;='Quadro 3'!$F$23,'Quadro 3'!$F$23,'Quadro 3'!$F$23))))))))</f>
        <v/>
      </c>
      <c r="Y31" s="936" t="str">
        <f>IF($V31="","",LOOKUP($V31,'Quadro 3'!$F$9:$F$23,'Quadro 3'!$G$9:$G$23))</f>
        <v/>
      </c>
      <c r="Z31" s="1129" t="str">
        <f>IF($V31="","",LOOKUP($V31,'Quadro 3'!$F$9:$F$23,'Quadro 3'!$D$9:$D$23))</f>
        <v/>
      </c>
      <c r="AA31" s="939" t="str">
        <f>IF($V31="","",LOOKUP($V31,'Quadro 3'!$F$9:$F$23,'Quadro 3'!$E$9:$E$23))</f>
        <v/>
      </c>
      <c r="AB31" s="929" t="str">
        <f t="shared" si="11"/>
        <v/>
      </c>
      <c r="AC31" s="930" t="str">
        <f t="shared" si="65"/>
        <v/>
      </c>
      <c r="AD31" s="1121" t="str">
        <f t="shared" si="66"/>
        <v/>
      </c>
      <c r="AE31" s="1123" t="str">
        <f t="shared" si="95"/>
        <v/>
      </c>
      <c r="AF31" s="931" t="str">
        <f t="shared" si="12"/>
        <v/>
      </c>
      <c r="AG31" s="932" t="str">
        <f t="shared" si="13"/>
        <v/>
      </c>
      <c r="AH31" s="1153" t="str">
        <f t="shared" si="14"/>
        <v/>
      </c>
      <c r="AI31" s="1154"/>
      <c r="AJ31" s="940"/>
      <c r="AK31" s="941"/>
      <c r="AL31" s="933" t="str">
        <f t="shared" si="96"/>
        <v/>
      </c>
      <c r="AM31" s="1153" t="str">
        <f t="shared" si="15"/>
        <v/>
      </c>
      <c r="AN31" s="1154"/>
      <c r="AO31" s="17"/>
      <c r="AP31" s="909" t="str">
        <f t="shared" si="67"/>
        <v/>
      </c>
      <c r="AV31" s="1117">
        <f t="shared" si="68"/>
        <v>0</v>
      </c>
      <c r="AW31" s="906" t="str">
        <f>IF(OR('Cálculo-Instalação Colectiva-MP'!$I$5&lt;&gt;1,S31="",S31=0),"",IF(OR(AND(G31&lt;&gt;"",H31=""),AND(G31="",H31&lt;&gt;"")),1,2))</f>
        <v/>
      </c>
      <c r="AY31" s="241">
        <f t="shared" si="16"/>
        <v>0</v>
      </c>
      <c r="AZ31" s="263" t="str">
        <f t="shared" si="17"/>
        <v/>
      </c>
      <c r="BA31" s="263" t="str">
        <f t="shared" si="18"/>
        <v/>
      </c>
      <c r="BB31" s="263"/>
      <c r="BI31" s="350" t="str">
        <f t="shared" si="69"/>
        <v>0</v>
      </c>
      <c r="BJ31" s="350">
        <f t="shared" si="70"/>
        <v>0</v>
      </c>
      <c r="BM31" s="911" t="str">
        <f t="shared" si="71"/>
        <v/>
      </c>
      <c r="BV31" s="350" t="str">
        <f t="shared" si="72"/>
        <v/>
      </c>
      <c r="BW31" s="235" t="str">
        <f t="shared" si="73"/>
        <v/>
      </c>
      <c r="BX31" s="235" t="str">
        <f t="shared" si="74"/>
        <v/>
      </c>
      <c r="BY31" s="235" t="str">
        <f t="shared" si="75"/>
        <v/>
      </c>
      <c r="BZ31" s="235" t="str">
        <f t="shared" si="76"/>
        <v/>
      </c>
      <c r="CA31" s="235" t="str">
        <f t="shared" si="77"/>
        <v/>
      </c>
      <c r="CB31" s="235" t="str">
        <f t="shared" si="78"/>
        <v/>
      </c>
      <c r="CC31" s="235" t="str">
        <f t="shared" si="79"/>
        <v/>
      </c>
      <c r="CD31" s="235" t="str">
        <f t="shared" si="80"/>
        <v/>
      </c>
      <c r="CE31" s="235" t="str">
        <f t="shared" si="81"/>
        <v/>
      </c>
      <c r="CF31" s="235" t="str">
        <f t="shared" si="82"/>
        <v/>
      </c>
      <c r="CQ31" s="2">
        <v>6</v>
      </c>
      <c r="CV31" s="209" t="str">
        <f t="shared" si="97"/>
        <v/>
      </c>
      <c r="CW31" s="204" t="str">
        <f t="shared" si="98"/>
        <v/>
      </c>
      <c r="CX31" s="43">
        <f t="shared" si="99"/>
        <v>0</v>
      </c>
      <c r="CY31" s="163" t="str">
        <f t="shared" si="19"/>
        <v/>
      </c>
      <c r="CZ31" s="45" t="str">
        <f t="shared" si="20"/>
        <v/>
      </c>
      <c r="DA31" s="46">
        <f t="shared" si="21"/>
        <v>0</v>
      </c>
      <c r="DB31" s="47" t="str">
        <f t="shared" si="22"/>
        <v/>
      </c>
      <c r="DC31" s="123">
        <f t="shared" si="23"/>
        <v>0</v>
      </c>
      <c r="DD31" s="123">
        <f t="shared" si="24"/>
        <v>0</v>
      </c>
      <c r="DE31" s="123"/>
      <c r="DF31" s="48">
        <f>IF(OR(DB31="",DB31=0),0,MAX(DC31:DD31:DE31))</f>
        <v>0</v>
      </c>
      <c r="DG31" s="115" t="str">
        <f t="shared" si="83"/>
        <v/>
      </c>
      <c r="DH31" s="51" t="str">
        <f t="shared" si="84"/>
        <v/>
      </c>
      <c r="DI31" s="51"/>
      <c r="DJ31" s="49" t="str">
        <f t="shared" si="85"/>
        <v/>
      </c>
      <c r="DK31" s="123">
        <f t="shared" si="25"/>
        <v>0</v>
      </c>
      <c r="DL31" s="123">
        <f t="shared" si="26"/>
        <v>0</v>
      </c>
      <c r="DM31" s="123"/>
      <c r="DN31" s="48">
        <f>IF(OR(DJ31="",DJ31=0),0,MAX(DK31:DL31:DM31))</f>
        <v>0</v>
      </c>
      <c r="DO31" s="115" t="str">
        <f t="shared" si="27"/>
        <v/>
      </c>
      <c r="DP31" s="51" t="str">
        <f t="shared" si="86"/>
        <v/>
      </c>
      <c r="DQ31" s="51"/>
      <c r="DR31" s="49" t="str">
        <f t="shared" si="28"/>
        <v/>
      </c>
      <c r="DS31" s="123">
        <f t="shared" si="29"/>
        <v>0</v>
      </c>
      <c r="DT31" s="123">
        <f t="shared" si="30"/>
        <v>0</v>
      </c>
      <c r="DU31" s="123"/>
      <c r="DV31" s="48">
        <f>IF(OR(DR31="",DR31=0),0,MAX(DS31:DT31:DU31))</f>
        <v>0</v>
      </c>
      <c r="DW31" s="115" t="str">
        <f t="shared" si="31"/>
        <v/>
      </c>
      <c r="DX31" s="51" t="str">
        <f t="shared" si="87"/>
        <v/>
      </c>
      <c r="DY31" s="51"/>
      <c r="DZ31" s="49" t="str">
        <f t="shared" si="32"/>
        <v/>
      </c>
      <c r="EA31" s="123">
        <f t="shared" si="33"/>
        <v>0</v>
      </c>
      <c r="EB31" s="123">
        <f t="shared" si="34"/>
        <v>0</v>
      </c>
      <c r="EC31" s="123"/>
      <c r="ED31" s="48">
        <f>IF(OR(DZ31="",DZ31=0),0,MAX(EA31:EB31:EC31))</f>
        <v>0</v>
      </c>
      <c r="EE31" s="115" t="str">
        <f t="shared" si="35"/>
        <v/>
      </c>
      <c r="EF31" s="51" t="str">
        <f t="shared" si="88"/>
        <v/>
      </c>
      <c r="EG31" s="51"/>
      <c r="EH31" s="49" t="str">
        <f t="shared" si="36"/>
        <v/>
      </c>
      <c r="EI31" s="123">
        <f t="shared" si="37"/>
        <v>0</v>
      </c>
      <c r="EJ31" s="123">
        <f t="shared" si="38"/>
        <v>0</v>
      </c>
      <c r="EK31" s="123"/>
      <c r="EL31" s="48">
        <f>IF(OR(EH31="",EH31=0),0,MAX(EI31:EJ31:EK31))</f>
        <v>0</v>
      </c>
      <c r="EM31" s="115" t="str">
        <f t="shared" si="39"/>
        <v/>
      </c>
      <c r="EN31" s="51" t="str">
        <f t="shared" si="89"/>
        <v/>
      </c>
      <c r="EO31" s="51"/>
      <c r="EP31" s="49" t="str">
        <f t="shared" si="40"/>
        <v/>
      </c>
      <c r="EQ31" s="123">
        <f t="shared" si="41"/>
        <v>0</v>
      </c>
      <c r="ER31" s="123">
        <f t="shared" si="42"/>
        <v>0</v>
      </c>
      <c r="ES31" s="123"/>
      <c r="ET31" s="48">
        <f>IF(OR(EP31="",EP31=0),0,MAX(EQ31:ER31:ES31))</f>
        <v>0</v>
      </c>
      <c r="EU31" s="115" t="str">
        <f t="shared" si="43"/>
        <v/>
      </c>
      <c r="EV31" s="51" t="str">
        <f t="shared" si="90"/>
        <v/>
      </c>
      <c r="EW31" s="51"/>
      <c r="EX31" s="49" t="str">
        <f t="shared" si="44"/>
        <v/>
      </c>
      <c r="EY31" s="123">
        <f t="shared" si="45"/>
        <v>0</v>
      </c>
      <c r="EZ31" s="123">
        <f t="shared" si="46"/>
        <v>0</v>
      </c>
      <c r="FA31" s="123"/>
      <c r="FB31" s="48">
        <f>IF(OR(EX31="",EX31=0),0,MAX(EY31:EZ31:FA31))</f>
        <v>0</v>
      </c>
      <c r="FC31" s="115" t="str">
        <f t="shared" si="47"/>
        <v/>
      </c>
      <c r="FD31" s="51" t="str">
        <f t="shared" si="91"/>
        <v/>
      </c>
      <c r="FE31" s="51"/>
      <c r="FF31" s="49" t="str">
        <f t="shared" si="48"/>
        <v/>
      </c>
      <c r="FG31" s="123">
        <f t="shared" si="49"/>
        <v>0</v>
      </c>
      <c r="FH31" s="123">
        <f t="shared" si="50"/>
        <v>0</v>
      </c>
      <c r="FI31" s="123"/>
      <c r="FJ31" s="48">
        <f>IF(OR(FF31="",FF31=0),0,MAX(FG31:FH31:FI31))</f>
        <v>0</v>
      </c>
      <c r="FK31" s="115" t="str">
        <f t="shared" si="51"/>
        <v/>
      </c>
      <c r="FL31" s="51" t="str">
        <f t="shared" si="92"/>
        <v/>
      </c>
      <c r="FM31" s="51"/>
      <c r="FN31" s="49" t="str">
        <f t="shared" si="52"/>
        <v/>
      </c>
      <c r="FO31" s="123">
        <f t="shared" si="53"/>
        <v>0</v>
      </c>
      <c r="FP31" s="123">
        <f t="shared" si="54"/>
        <v>0</v>
      </c>
      <c r="FQ31" s="123"/>
      <c r="FR31" s="48">
        <f>IF(OR(FN31="",FN31=0),0,MAX(FO31:FP31:FQ31))</f>
        <v>0</v>
      </c>
      <c r="FS31" s="115" t="str">
        <f t="shared" si="55"/>
        <v/>
      </c>
      <c r="FT31" s="51" t="str">
        <f t="shared" si="93"/>
        <v/>
      </c>
      <c r="FU31" s="51"/>
      <c r="FV31" s="49" t="str">
        <f t="shared" si="56"/>
        <v/>
      </c>
      <c r="FW31" s="123">
        <f t="shared" si="57"/>
        <v>0</v>
      </c>
      <c r="FX31" s="123">
        <f t="shared" si="58"/>
        <v>0</v>
      </c>
      <c r="FY31" s="123"/>
      <c r="FZ31" s="48">
        <f>IF(OR(FV31="",FV31=0),0,MAX(FW31:FX31:FY31))</f>
        <v>0</v>
      </c>
      <c r="GA31" s="115" t="str">
        <f t="shared" si="59"/>
        <v/>
      </c>
      <c r="GB31" s="51" t="str">
        <f t="shared" si="94"/>
        <v/>
      </c>
      <c r="GC31" s="51"/>
      <c r="GD31" s="49" t="str">
        <f t="shared" si="60"/>
        <v/>
      </c>
      <c r="GE31" s="123">
        <f t="shared" si="61"/>
        <v>0</v>
      </c>
      <c r="GF31" s="123">
        <f t="shared" si="62"/>
        <v>0</v>
      </c>
      <c r="GG31" s="123"/>
      <c r="GH31" s="48">
        <f>IF(OR(GD31="",GD31=0),0,MAX(GE31:GF31:GG31))</f>
        <v>0</v>
      </c>
    </row>
    <row r="32" spans="1:190" s="16" customFormat="1" ht="18" customHeight="1" thickTop="1" thickBot="1" x14ac:dyDescent="0.35">
      <c r="A32" s="902" t="str">
        <f t="shared" si="63"/>
        <v/>
      </c>
      <c r="B32" s="826" t="str">
        <f t="shared" si="64"/>
        <v/>
      </c>
      <c r="C32" s="843" t="str">
        <f>IF(B32="","",SUM(B$26:B32))</f>
        <v/>
      </c>
      <c r="D32" s="958"/>
      <c r="E32" s="959"/>
      <c r="F32" s="948" t="str">
        <f t="shared" si="100"/>
        <v/>
      </c>
      <c r="G32" s="961"/>
      <c r="H32" s="962"/>
      <c r="I32" s="963" t="str">
        <f t="shared" si="3"/>
        <v/>
      </c>
      <c r="J32" s="964" t="str">
        <f t="shared" si="4"/>
        <v/>
      </c>
      <c r="K32" s="965">
        <f t="shared" si="5"/>
        <v>0</v>
      </c>
      <c r="L32" s="966">
        <f t="shared" si="6"/>
        <v>0</v>
      </c>
      <c r="M32" s="955"/>
      <c r="N32" s="956"/>
      <c r="O32" s="949"/>
      <c r="P32" s="927" t="str">
        <f>IF(M32="","",IF(O32="",ABS(M32)*(1+'Cálculo-Instalação Colectiva-MP'!$L$13),ABS(M32)+O32))</f>
        <v/>
      </c>
      <c r="Q32" s="928" t="str">
        <f t="shared" si="7"/>
        <v/>
      </c>
      <c r="R32" s="935" t="str">
        <f t="shared" si="8"/>
        <v/>
      </c>
      <c r="S32" s="111" t="str">
        <f t="shared" si="9"/>
        <v/>
      </c>
      <c r="T32" s="926"/>
      <c r="U32" s="610" t="str">
        <f t="shared" si="10"/>
        <v/>
      </c>
      <c r="V32" s="936" t="str">
        <f>IF(OR(S32="",S32=0),"",IF($U32&gt;'Quadro 3'!$F$23,'Quadro 3'!$F$23,IF($U32&lt;'Quadro 3'!$F$10,'Quadro 3'!$F$10,MIN($W32,$X32))))</f>
        <v/>
      </c>
      <c r="W32" s="937" t="str">
        <f>IF(AND(AW32&lt;&gt;2,$U32&lt;='Quadro 3'!$F$10),'Quadro 3'!$F$10,IF($U32&lt;='Quadro 3'!$F$11,'Quadro 3'!$F$11,IF($U32&lt;='Quadro 3'!$F$12,'Quadro 3'!$F$12,IF($U32&lt;='Quadro 3'!$F$13,'Quadro 3'!$F$13,IF($U32&lt;='Quadro 3'!$F$14,'Quadro 3'!$F$14,IF($U32&lt;='Quadro 3'!$F$15,'Quadro 3'!$F$15,IF($U32&lt;='Quadro 3'!$F$16,'Quadro 3'!$F$16,"")))))))</f>
        <v/>
      </c>
      <c r="X32" s="938" t="str">
        <f>IF(OR(S32="",S32=0),"",IF($U32&lt;='Quadro 3'!$F$17,'Quadro 3'!$F$17,IF($U32&lt;='Quadro 3'!$F$18,'Quadro 3'!$F$18,IF($U32&lt;='Quadro 3'!$F$19,'Quadro 3'!$F$19,IF($U32&lt;='Quadro 3'!$F$20,'Quadro 3'!$F$20,IF($U32&lt;='Quadro 3'!$F$21,'Quadro 3'!$F$21,IF($U32&lt;='Quadro 3'!$F$22,'Quadro 3'!$F$22,IF($U32&lt;='Quadro 3'!$F$23,'Quadro 3'!$F$23,'Quadro 3'!$F$23))))))))</f>
        <v/>
      </c>
      <c r="Y32" s="936" t="str">
        <f>IF($V32="","",LOOKUP($V32,'Quadro 3'!$F$9:$F$23,'Quadro 3'!$G$9:$G$23))</f>
        <v/>
      </c>
      <c r="Z32" s="1129" t="str">
        <f>IF($V32="","",LOOKUP($V32,'Quadro 3'!$F$9:$F$23,'Quadro 3'!$D$9:$D$23))</f>
        <v/>
      </c>
      <c r="AA32" s="939" t="str">
        <f>IF($V32="","",LOOKUP($V32,'Quadro 3'!$F$9:$F$23,'Quadro 3'!$E$9:$E$23))</f>
        <v/>
      </c>
      <c r="AB32" s="929" t="str">
        <f t="shared" si="11"/>
        <v/>
      </c>
      <c r="AC32" s="930" t="str">
        <f t="shared" si="65"/>
        <v/>
      </c>
      <c r="AD32" s="1121" t="str">
        <f t="shared" si="66"/>
        <v/>
      </c>
      <c r="AE32" s="1123" t="str">
        <f t="shared" si="95"/>
        <v/>
      </c>
      <c r="AF32" s="931" t="str">
        <f>IF(AD32="","",(AB32-AD32))</f>
        <v/>
      </c>
      <c r="AG32" s="932" t="str">
        <f t="shared" si="13"/>
        <v/>
      </c>
      <c r="AH32" s="1153" t="str">
        <f t="shared" si="14"/>
        <v/>
      </c>
      <c r="AI32" s="1154"/>
      <c r="AJ32" s="940"/>
      <c r="AK32" s="941"/>
      <c r="AL32" s="933" t="str">
        <f t="shared" si="96"/>
        <v/>
      </c>
      <c r="AM32" s="1153" t="str">
        <f t="shared" si="15"/>
        <v/>
      </c>
      <c r="AN32" s="1154"/>
      <c r="AO32" s="17"/>
      <c r="AP32" s="909" t="str">
        <f t="shared" si="67"/>
        <v/>
      </c>
      <c r="AV32" s="1117">
        <f t="shared" si="68"/>
        <v>0</v>
      </c>
      <c r="AW32" s="906" t="str">
        <f>IF(OR('Cálculo-Instalação Colectiva-MP'!$I$5&lt;&gt;1,S32="",S32=0),"",IF(OR(AND(G32&lt;&gt;"",H32=""),AND(G32="",H32&lt;&gt;"")),1,2))</f>
        <v/>
      </c>
      <c r="AY32" s="241">
        <f t="shared" si="16"/>
        <v>0</v>
      </c>
      <c r="AZ32" s="263" t="str">
        <f t="shared" si="17"/>
        <v/>
      </c>
      <c r="BA32" s="263" t="str">
        <f t="shared" si="18"/>
        <v/>
      </c>
      <c r="BB32" s="263"/>
      <c r="BI32" s="350" t="str">
        <f t="shared" si="69"/>
        <v>0</v>
      </c>
      <c r="BJ32" s="350">
        <f t="shared" si="70"/>
        <v>0</v>
      </c>
      <c r="BM32" s="911" t="str">
        <f t="shared" si="71"/>
        <v/>
      </c>
      <c r="BV32" s="350" t="str">
        <f t="shared" si="72"/>
        <v/>
      </c>
      <c r="BW32" s="235" t="str">
        <f t="shared" si="73"/>
        <v/>
      </c>
      <c r="BX32" s="235" t="str">
        <f t="shared" si="74"/>
        <v/>
      </c>
      <c r="BY32" s="235" t="str">
        <f t="shared" si="75"/>
        <v/>
      </c>
      <c r="BZ32" s="235" t="str">
        <f t="shared" si="76"/>
        <v/>
      </c>
      <c r="CA32" s="235" t="str">
        <f t="shared" si="77"/>
        <v/>
      </c>
      <c r="CB32" s="235" t="str">
        <f t="shared" si="78"/>
        <v/>
      </c>
      <c r="CC32" s="235" t="str">
        <f t="shared" si="79"/>
        <v/>
      </c>
      <c r="CD32" s="235" t="str">
        <f t="shared" si="80"/>
        <v/>
      </c>
      <c r="CE32" s="235" t="str">
        <f t="shared" si="81"/>
        <v/>
      </c>
      <c r="CF32" s="235" t="str">
        <f t="shared" si="82"/>
        <v/>
      </c>
      <c r="CQ32" s="2">
        <v>7</v>
      </c>
      <c r="CV32" s="209" t="str">
        <f t="shared" si="97"/>
        <v/>
      </c>
      <c r="CW32" s="204" t="str">
        <f t="shared" si="98"/>
        <v/>
      </c>
      <c r="CX32" s="43">
        <f t="shared" si="99"/>
        <v>0</v>
      </c>
      <c r="CY32" s="163" t="str">
        <f t="shared" si="19"/>
        <v/>
      </c>
      <c r="CZ32" s="45" t="str">
        <f t="shared" si="20"/>
        <v/>
      </c>
      <c r="DA32" s="46">
        <f t="shared" si="21"/>
        <v>0</v>
      </c>
      <c r="DB32" s="47" t="str">
        <f t="shared" si="22"/>
        <v/>
      </c>
      <c r="DC32" s="123">
        <f t="shared" si="23"/>
        <v>0</v>
      </c>
      <c r="DD32" s="123">
        <f t="shared" si="24"/>
        <v>0</v>
      </c>
      <c r="DE32" s="123"/>
      <c r="DF32" s="48">
        <f>IF(OR(DB32="",DB32=0),0,MAX(DC32:DD32:DE32))</f>
        <v>0</v>
      </c>
      <c r="DG32" s="115" t="str">
        <f t="shared" si="83"/>
        <v/>
      </c>
      <c r="DH32" s="51" t="str">
        <f t="shared" si="84"/>
        <v/>
      </c>
      <c r="DI32" s="51"/>
      <c r="DJ32" s="49" t="str">
        <f t="shared" si="85"/>
        <v/>
      </c>
      <c r="DK32" s="123">
        <f t="shared" si="25"/>
        <v>0</v>
      </c>
      <c r="DL32" s="123">
        <f t="shared" si="26"/>
        <v>0</v>
      </c>
      <c r="DM32" s="123"/>
      <c r="DN32" s="48">
        <f>IF(OR(DJ32="",DJ32=0),0,MAX(DK32:DL32:DM32))</f>
        <v>0</v>
      </c>
      <c r="DO32" s="115" t="str">
        <f t="shared" si="27"/>
        <v/>
      </c>
      <c r="DP32" s="51" t="str">
        <f t="shared" si="86"/>
        <v/>
      </c>
      <c r="DQ32" s="51"/>
      <c r="DR32" s="49" t="str">
        <f t="shared" si="28"/>
        <v/>
      </c>
      <c r="DS32" s="123">
        <f t="shared" si="29"/>
        <v>0</v>
      </c>
      <c r="DT32" s="123">
        <f t="shared" si="30"/>
        <v>0</v>
      </c>
      <c r="DU32" s="123"/>
      <c r="DV32" s="48">
        <f>IF(OR(DR32="",DR32=0),0,MAX(DS32:DT32:DU32))</f>
        <v>0</v>
      </c>
      <c r="DW32" s="115" t="str">
        <f t="shared" si="31"/>
        <v/>
      </c>
      <c r="DX32" s="51" t="str">
        <f t="shared" si="87"/>
        <v/>
      </c>
      <c r="DY32" s="51"/>
      <c r="DZ32" s="49" t="str">
        <f t="shared" si="32"/>
        <v/>
      </c>
      <c r="EA32" s="123">
        <f t="shared" si="33"/>
        <v>0</v>
      </c>
      <c r="EB32" s="123">
        <f t="shared" si="34"/>
        <v>0</v>
      </c>
      <c r="EC32" s="123"/>
      <c r="ED32" s="48">
        <f>IF(OR(DZ32="",DZ32=0),0,MAX(EA32:EB32:EC32))</f>
        <v>0</v>
      </c>
      <c r="EE32" s="115" t="str">
        <f t="shared" si="35"/>
        <v/>
      </c>
      <c r="EF32" s="51" t="str">
        <f t="shared" si="88"/>
        <v/>
      </c>
      <c r="EG32" s="51"/>
      <c r="EH32" s="49" t="str">
        <f t="shared" si="36"/>
        <v/>
      </c>
      <c r="EI32" s="123">
        <f t="shared" si="37"/>
        <v>0</v>
      </c>
      <c r="EJ32" s="123">
        <f t="shared" si="38"/>
        <v>0</v>
      </c>
      <c r="EK32" s="123"/>
      <c r="EL32" s="48">
        <f>IF(OR(EH32="",EH32=0),0,MAX(EI32:EJ32:EK32))</f>
        <v>0</v>
      </c>
      <c r="EM32" s="115" t="str">
        <f t="shared" si="39"/>
        <v/>
      </c>
      <c r="EN32" s="51" t="str">
        <f t="shared" si="89"/>
        <v/>
      </c>
      <c r="EO32" s="51"/>
      <c r="EP32" s="49" t="str">
        <f t="shared" si="40"/>
        <v/>
      </c>
      <c r="EQ32" s="123">
        <f t="shared" si="41"/>
        <v>0</v>
      </c>
      <c r="ER32" s="123">
        <f t="shared" si="42"/>
        <v>0</v>
      </c>
      <c r="ES32" s="123"/>
      <c r="ET32" s="48">
        <f>IF(OR(EP32="",EP32=0),0,MAX(EQ32:ER32:ES32))</f>
        <v>0</v>
      </c>
      <c r="EU32" s="115" t="str">
        <f t="shared" si="43"/>
        <v/>
      </c>
      <c r="EV32" s="51" t="str">
        <f t="shared" si="90"/>
        <v/>
      </c>
      <c r="EW32" s="51"/>
      <c r="EX32" s="49" t="str">
        <f t="shared" si="44"/>
        <v/>
      </c>
      <c r="EY32" s="123">
        <f t="shared" si="45"/>
        <v>0</v>
      </c>
      <c r="EZ32" s="123">
        <f t="shared" si="46"/>
        <v>0</v>
      </c>
      <c r="FA32" s="123"/>
      <c r="FB32" s="48">
        <f>IF(OR(EX32="",EX32=0),0,MAX(EY32:EZ32:FA32))</f>
        <v>0</v>
      </c>
      <c r="FC32" s="115" t="str">
        <f t="shared" si="47"/>
        <v/>
      </c>
      <c r="FD32" s="51" t="str">
        <f t="shared" si="91"/>
        <v/>
      </c>
      <c r="FE32" s="51"/>
      <c r="FF32" s="49" t="str">
        <f t="shared" si="48"/>
        <v/>
      </c>
      <c r="FG32" s="123">
        <f t="shared" si="49"/>
        <v>0</v>
      </c>
      <c r="FH32" s="123">
        <f t="shared" si="50"/>
        <v>0</v>
      </c>
      <c r="FI32" s="123"/>
      <c r="FJ32" s="48">
        <f>IF(OR(FF32="",FF32=0),0,MAX(FG32:FH32:FI32))</f>
        <v>0</v>
      </c>
      <c r="FK32" s="115" t="str">
        <f t="shared" si="51"/>
        <v/>
      </c>
      <c r="FL32" s="51" t="str">
        <f t="shared" si="92"/>
        <v/>
      </c>
      <c r="FM32" s="51"/>
      <c r="FN32" s="49" t="str">
        <f t="shared" si="52"/>
        <v/>
      </c>
      <c r="FO32" s="123">
        <f t="shared" si="53"/>
        <v>0</v>
      </c>
      <c r="FP32" s="123">
        <f t="shared" si="54"/>
        <v>0</v>
      </c>
      <c r="FQ32" s="123"/>
      <c r="FR32" s="48">
        <f>IF(OR(FN32="",FN32=0),0,MAX(FO32:FP32:FQ32))</f>
        <v>0</v>
      </c>
      <c r="FS32" s="115" t="str">
        <f t="shared" si="55"/>
        <v/>
      </c>
      <c r="FT32" s="51" t="str">
        <f t="shared" si="93"/>
        <v/>
      </c>
      <c r="FU32" s="51"/>
      <c r="FV32" s="49" t="str">
        <f t="shared" si="56"/>
        <v/>
      </c>
      <c r="FW32" s="123">
        <f t="shared" si="57"/>
        <v>0</v>
      </c>
      <c r="FX32" s="123">
        <f t="shared" si="58"/>
        <v>0</v>
      </c>
      <c r="FY32" s="123"/>
      <c r="FZ32" s="48">
        <f>IF(OR(FV32="",FV32=0),0,MAX(FW32:FX32:FY32))</f>
        <v>0</v>
      </c>
      <c r="GA32" s="115" t="str">
        <f t="shared" si="59"/>
        <v/>
      </c>
      <c r="GB32" s="51" t="str">
        <f t="shared" si="94"/>
        <v/>
      </c>
      <c r="GC32" s="51"/>
      <c r="GD32" s="49" t="str">
        <f t="shared" si="60"/>
        <v/>
      </c>
      <c r="GE32" s="123">
        <f t="shared" si="61"/>
        <v>0</v>
      </c>
      <c r="GF32" s="123">
        <f t="shared" si="62"/>
        <v>0</v>
      </c>
      <c r="GG32" s="123"/>
      <c r="GH32" s="48">
        <f>IF(OR(GD32="",GD32=0),0,MAX(GE32:GF32:GG32))</f>
        <v>0</v>
      </c>
    </row>
    <row r="33" spans="1:190" s="16" customFormat="1" ht="18" customHeight="1" thickTop="1" thickBot="1" x14ac:dyDescent="0.35">
      <c r="A33" s="902" t="str">
        <f t="shared" si="63"/>
        <v/>
      </c>
      <c r="B33" s="826" t="str">
        <f t="shared" si="64"/>
        <v/>
      </c>
      <c r="C33" s="843" t="str">
        <f>IF(B33="","",SUM(B$26:B33))</f>
        <v/>
      </c>
      <c r="D33" s="958"/>
      <c r="E33" s="959"/>
      <c r="F33" s="948" t="str">
        <f t="shared" si="100"/>
        <v/>
      </c>
      <c r="G33" s="961"/>
      <c r="H33" s="962"/>
      <c r="I33" s="963" t="str">
        <f t="shared" si="3"/>
        <v/>
      </c>
      <c r="J33" s="964" t="str">
        <f t="shared" si="4"/>
        <v/>
      </c>
      <c r="K33" s="965">
        <f t="shared" si="5"/>
        <v>0</v>
      </c>
      <c r="L33" s="966">
        <f t="shared" si="6"/>
        <v>0</v>
      </c>
      <c r="M33" s="955"/>
      <c r="N33" s="956"/>
      <c r="O33" s="949"/>
      <c r="P33" s="927" t="str">
        <f>IF(M33="","",IF(O33="",ABS(M33)*(1+'Cálculo-Instalação Colectiva-MP'!$L$13),ABS(M33)+O33))</f>
        <v/>
      </c>
      <c r="Q33" s="928" t="str">
        <f t="shared" si="7"/>
        <v/>
      </c>
      <c r="R33" s="935" t="str">
        <f t="shared" si="8"/>
        <v/>
      </c>
      <c r="S33" s="111" t="str">
        <f t="shared" si="9"/>
        <v/>
      </c>
      <c r="T33" s="926"/>
      <c r="U33" s="610" t="str">
        <f t="shared" si="10"/>
        <v/>
      </c>
      <c r="V33" s="936" t="str">
        <f>IF(OR(S33="",S33=0),"",IF($U33&gt;'Quadro 3'!$F$23,'Quadro 3'!$F$23,IF($U33&lt;'Quadro 3'!$F$10,'Quadro 3'!$F$10,MIN($W33,$X33))))</f>
        <v/>
      </c>
      <c r="W33" s="937" t="str">
        <f>IF(AND(AW33&lt;&gt;2,$U33&lt;='Quadro 3'!$F$10),'Quadro 3'!$F$10,IF($U33&lt;='Quadro 3'!$F$11,'Quadro 3'!$F$11,IF($U33&lt;='Quadro 3'!$F$12,'Quadro 3'!$F$12,IF($U33&lt;='Quadro 3'!$F$13,'Quadro 3'!$F$13,IF($U33&lt;='Quadro 3'!$F$14,'Quadro 3'!$F$14,IF($U33&lt;='Quadro 3'!$F$15,'Quadro 3'!$F$15,IF($U33&lt;='Quadro 3'!$F$16,'Quadro 3'!$F$16,"")))))))</f>
        <v/>
      </c>
      <c r="X33" s="938" t="str">
        <f>IF(OR(S33="",S33=0),"",IF($U33&lt;='Quadro 3'!$F$17,'Quadro 3'!$F$17,IF($U33&lt;='Quadro 3'!$F$18,'Quadro 3'!$F$18,IF($U33&lt;='Quadro 3'!$F$19,'Quadro 3'!$F$19,IF($U33&lt;='Quadro 3'!$F$20,'Quadro 3'!$F$20,IF($U33&lt;='Quadro 3'!$F$21,'Quadro 3'!$F$21,IF($U33&lt;='Quadro 3'!$F$22,'Quadro 3'!$F$22,IF($U33&lt;='Quadro 3'!$F$23,'Quadro 3'!$F$23,'Quadro 3'!$F$23))))))))</f>
        <v/>
      </c>
      <c r="Y33" s="936" t="str">
        <f>IF($V33="","",LOOKUP($V33,'Quadro 3'!$F$9:$F$23,'Quadro 3'!$G$9:$G$23))</f>
        <v/>
      </c>
      <c r="Z33" s="1129" t="str">
        <f>IF($V33="","",LOOKUP($V33,'Quadro 3'!$F$9:$F$23,'Quadro 3'!$D$9:$D$23))</f>
        <v/>
      </c>
      <c r="AA33" s="939" t="str">
        <f>IF($V33="","",LOOKUP($V33,'Quadro 3'!$F$9:$F$23,'Quadro 3'!$E$9:$E$23))</f>
        <v/>
      </c>
      <c r="AB33" s="929" t="str">
        <f t="shared" si="11"/>
        <v/>
      </c>
      <c r="AC33" s="930" t="str">
        <f t="shared" si="65"/>
        <v/>
      </c>
      <c r="AD33" s="1121" t="str">
        <f t="shared" si="66"/>
        <v/>
      </c>
      <c r="AE33" s="1123" t="str">
        <f t="shared" si="95"/>
        <v/>
      </c>
      <c r="AF33" s="931" t="str">
        <f>IF(AD33="","",(AB33-AD33))</f>
        <v/>
      </c>
      <c r="AG33" s="932" t="str">
        <f t="shared" si="13"/>
        <v/>
      </c>
      <c r="AH33" s="1153" t="str">
        <f t="shared" si="14"/>
        <v/>
      </c>
      <c r="AI33" s="1154"/>
      <c r="AJ33" s="940"/>
      <c r="AK33" s="941"/>
      <c r="AL33" s="933" t="str">
        <f t="shared" si="96"/>
        <v/>
      </c>
      <c r="AM33" s="1153" t="str">
        <f t="shared" si="15"/>
        <v/>
      </c>
      <c r="AN33" s="1154"/>
      <c r="AO33" s="17"/>
      <c r="AP33" s="909" t="str">
        <f t="shared" si="67"/>
        <v/>
      </c>
      <c r="AV33" s="1117">
        <f t="shared" si="68"/>
        <v>0</v>
      </c>
      <c r="AW33" s="906" t="str">
        <f>IF(OR('Cálculo-Instalação Colectiva-MP'!$I$5&lt;&gt;1,S33="",S33=0),"",IF(OR(AND(G33&lt;&gt;"",H33=""),AND(G33="",H33&lt;&gt;"")),1,2))</f>
        <v/>
      </c>
      <c r="AY33" s="241">
        <f t="shared" si="16"/>
        <v>0</v>
      </c>
      <c r="AZ33" s="263" t="str">
        <f t="shared" si="17"/>
        <v/>
      </c>
      <c r="BA33" s="263" t="str">
        <f t="shared" si="18"/>
        <v/>
      </c>
      <c r="BB33" s="263"/>
      <c r="BI33" s="350" t="str">
        <f t="shared" si="69"/>
        <v>0</v>
      </c>
      <c r="BJ33" s="350">
        <f t="shared" si="70"/>
        <v>0</v>
      </c>
      <c r="BM33" s="911" t="str">
        <f t="shared" si="71"/>
        <v/>
      </c>
      <c r="BV33" s="350" t="str">
        <f t="shared" si="72"/>
        <v/>
      </c>
      <c r="BW33" s="235" t="str">
        <f t="shared" si="73"/>
        <v/>
      </c>
      <c r="BX33" s="235" t="str">
        <f t="shared" si="74"/>
        <v/>
      </c>
      <c r="BY33" s="235" t="str">
        <f t="shared" si="75"/>
        <v/>
      </c>
      <c r="BZ33" s="235" t="str">
        <f t="shared" si="76"/>
        <v/>
      </c>
      <c r="CA33" s="235" t="str">
        <f t="shared" si="77"/>
        <v/>
      </c>
      <c r="CB33" s="235" t="str">
        <f t="shared" si="78"/>
        <v/>
      </c>
      <c r="CC33" s="235" t="str">
        <f t="shared" si="79"/>
        <v/>
      </c>
      <c r="CD33" s="235" t="str">
        <f t="shared" si="80"/>
        <v/>
      </c>
      <c r="CE33" s="235" t="str">
        <f t="shared" si="81"/>
        <v/>
      </c>
      <c r="CF33" s="235" t="str">
        <f t="shared" si="82"/>
        <v/>
      </c>
      <c r="CQ33" s="2">
        <v>8</v>
      </c>
      <c r="CV33" s="209" t="str">
        <f t="shared" si="97"/>
        <v/>
      </c>
      <c r="CW33" s="204" t="str">
        <f t="shared" si="98"/>
        <v/>
      </c>
      <c r="CX33" s="43">
        <f t="shared" si="99"/>
        <v>0</v>
      </c>
      <c r="CY33" s="163" t="str">
        <f t="shared" si="19"/>
        <v/>
      </c>
      <c r="CZ33" s="45" t="str">
        <f t="shared" si="20"/>
        <v/>
      </c>
      <c r="DA33" s="46">
        <f t="shared" si="21"/>
        <v>0</v>
      </c>
      <c r="DB33" s="47" t="str">
        <f t="shared" si="22"/>
        <v/>
      </c>
      <c r="DC33" s="123">
        <f t="shared" si="23"/>
        <v>0</v>
      </c>
      <c r="DD33" s="123">
        <f t="shared" si="24"/>
        <v>0</v>
      </c>
      <c r="DE33" s="123"/>
      <c r="DF33" s="48">
        <f>IF(OR(DB33="",DB33=0),0,MAX(DC33:DD33:DE33))</f>
        <v>0</v>
      </c>
      <c r="DG33" s="115" t="str">
        <f t="shared" si="83"/>
        <v/>
      </c>
      <c r="DH33" s="51" t="str">
        <f t="shared" si="84"/>
        <v/>
      </c>
      <c r="DI33" s="51"/>
      <c r="DJ33" s="49" t="str">
        <f t="shared" si="85"/>
        <v/>
      </c>
      <c r="DK33" s="123">
        <f t="shared" si="25"/>
        <v>0</v>
      </c>
      <c r="DL33" s="123">
        <f t="shared" si="26"/>
        <v>0</v>
      </c>
      <c r="DM33" s="123"/>
      <c r="DN33" s="48">
        <f>IF(OR(DJ33="",DJ33=0),0,MAX(DK33:DL33:DM33))</f>
        <v>0</v>
      </c>
      <c r="DO33" s="115" t="str">
        <f t="shared" si="27"/>
        <v/>
      </c>
      <c r="DP33" s="51" t="str">
        <f t="shared" si="86"/>
        <v/>
      </c>
      <c r="DQ33" s="51"/>
      <c r="DR33" s="49" t="str">
        <f t="shared" si="28"/>
        <v/>
      </c>
      <c r="DS33" s="123">
        <f t="shared" si="29"/>
        <v>0</v>
      </c>
      <c r="DT33" s="123">
        <f t="shared" si="30"/>
        <v>0</v>
      </c>
      <c r="DU33" s="123"/>
      <c r="DV33" s="48">
        <f>IF(OR(DR33="",DR33=0),0,MAX(DS33:DT33:DU33))</f>
        <v>0</v>
      </c>
      <c r="DW33" s="115" t="str">
        <f t="shared" si="31"/>
        <v/>
      </c>
      <c r="DX33" s="51" t="str">
        <f t="shared" si="87"/>
        <v/>
      </c>
      <c r="DY33" s="51"/>
      <c r="DZ33" s="49" t="str">
        <f t="shared" si="32"/>
        <v/>
      </c>
      <c r="EA33" s="123">
        <f t="shared" si="33"/>
        <v>0</v>
      </c>
      <c r="EB33" s="123">
        <f t="shared" si="34"/>
        <v>0</v>
      </c>
      <c r="EC33" s="123"/>
      <c r="ED33" s="48">
        <f>IF(OR(DZ33="",DZ33=0),0,MAX(EA33:EB33:EC33))</f>
        <v>0</v>
      </c>
      <c r="EE33" s="115" t="str">
        <f t="shared" si="35"/>
        <v/>
      </c>
      <c r="EF33" s="51" t="str">
        <f t="shared" si="88"/>
        <v/>
      </c>
      <c r="EG33" s="51"/>
      <c r="EH33" s="49" t="str">
        <f t="shared" si="36"/>
        <v/>
      </c>
      <c r="EI33" s="123">
        <f t="shared" si="37"/>
        <v>0</v>
      </c>
      <c r="EJ33" s="123">
        <f t="shared" si="38"/>
        <v>0</v>
      </c>
      <c r="EK33" s="123"/>
      <c r="EL33" s="48">
        <f>IF(OR(EH33="",EH33=0),0,MAX(EI33:EJ33:EK33))</f>
        <v>0</v>
      </c>
      <c r="EM33" s="115" t="str">
        <f t="shared" si="39"/>
        <v/>
      </c>
      <c r="EN33" s="51" t="str">
        <f t="shared" si="89"/>
        <v/>
      </c>
      <c r="EO33" s="51"/>
      <c r="EP33" s="49" t="str">
        <f t="shared" si="40"/>
        <v/>
      </c>
      <c r="EQ33" s="123">
        <f t="shared" si="41"/>
        <v>0</v>
      </c>
      <c r="ER33" s="123">
        <f t="shared" si="42"/>
        <v>0</v>
      </c>
      <c r="ES33" s="123"/>
      <c r="ET33" s="48">
        <f>IF(OR(EP33="",EP33=0),0,MAX(EQ33:ER33:ES33))</f>
        <v>0</v>
      </c>
      <c r="EU33" s="115" t="str">
        <f t="shared" si="43"/>
        <v/>
      </c>
      <c r="EV33" s="51" t="str">
        <f t="shared" si="90"/>
        <v/>
      </c>
      <c r="EW33" s="51"/>
      <c r="EX33" s="49" t="str">
        <f t="shared" si="44"/>
        <v/>
      </c>
      <c r="EY33" s="123">
        <f t="shared" si="45"/>
        <v>0</v>
      </c>
      <c r="EZ33" s="123">
        <f t="shared" si="46"/>
        <v>0</v>
      </c>
      <c r="FA33" s="123"/>
      <c r="FB33" s="48">
        <f>IF(OR(EX33="",EX33=0),0,MAX(EY33:EZ33:FA33))</f>
        <v>0</v>
      </c>
      <c r="FC33" s="115" t="str">
        <f t="shared" si="47"/>
        <v/>
      </c>
      <c r="FD33" s="51" t="str">
        <f t="shared" si="91"/>
        <v/>
      </c>
      <c r="FE33" s="51"/>
      <c r="FF33" s="49" t="str">
        <f t="shared" si="48"/>
        <v/>
      </c>
      <c r="FG33" s="123">
        <f t="shared" si="49"/>
        <v>0</v>
      </c>
      <c r="FH33" s="123">
        <f t="shared" si="50"/>
        <v>0</v>
      </c>
      <c r="FI33" s="123"/>
      <c r="FJ33" s="48">
        <f>IF(OR(FF33="",FF33=0),0,MAX(FG33:FH33:FI33))</f>
        <v>0</v>
      </c>
      <c r="FK33" s="115" t="str">
        <f t="shared" si="51"/>
        <v/>
      </c>
      <c r="FL33" s="51" t="str">
        <f t="shared" si="92"/>
        <v/>
      </c>
      <c r="FM33" s="51"/>
      <c r="FN33" s="49" t="str">
        <f t="shared" si="52"/>
        <v/>
      </c>
      <c r="FO33" s="123">
        <f t="shared" si="53"/>
        <v>0</v>
      </c>
      <c r="FP33" s="123">
        <f t="shared" si="54"/>
        <v>0</v>
      </c>
      <c r="FQ33" s="123"/>
      <c r="FR33" s="48">
        <f>IF(OR(FN33="",FN33=0),0,MAX(FO33:FP33:FQ33))</f>
        <v>0</v>
      </c>
      <c r="FS33" s="115" t="str">
        <f t="shared" si="55"/>
        <v/>
      </c>
      <c r="FT33" s="51" t="str">
        <f t="shared" si="93"/>
        <v/>
      </c>
      <c r="FU33" s="51"/>
      <c r="FV33" s="49" t="str">
        <f t="shared" si="56"/>
        <v/>
      </c>
      <c r="FW33" s="123">
        <f t="shared" si="57"/>
        <v>0</v>
      </c>
      <c r="FX33" s="123">
        <f t="shared" si="58"/>
        <v>0</v>
      </c>
      <c r="FY33" s="123"/>
      <c r="FZ33" s="48">
        <f>IF(OR(FV33="",FV33=0),0,MAX(FW33:FX33:FY33))</f>
        <v>0</v>
      </c>
      <c r="GA33" s="115" t="str">
        <f t="shared" si="59"/>
        <v/>
      </c>
      <c r="GB33" s="51" t="str">
        <f t="shared" si="94"/>
        <v/>
      </c>
      <c r="GC33" s="51"/>
      <c r="GD33" s="49" t="str">
        <f t="shared" si="60"/>
        <v/>
      </c>
      <c r="GE33" s="123">
        <f t="shared" si="61"/>
        <v>0</v>
      </c>
      <c r="GF33" s="123">
        <f t="shared" si="62"/>
        <v>0</v>
      </c>
      <c r="GG33" s="123"/>
      <c r="GH33" s="48">
        <f>IF(OR(GD33="",GD33=0),0,MAX(GE33:GF33:GG33))</f>
        <v>0</v>
      </c>
    </row>
    <row r="34" spans="1:190" s="16" customFormat="1" ht="18" customHeight="1" thickTop="1" thickBot="1" x14ac:dyDescent="0.35">
      <c r="A34" s="902" t="str">
        <f t="shared" si="63"/>
        <v/>
      </c>
      <c r="B34" s="826" t="str">
        <f t="shared" si="64"/>
        <v/>
      </c>
      <c r="C34" s="843" t="str">
        <f>IF(B34="","",SUM(B$26:B34))</f>
        <v/>
      </c>
      <c r="D34" s="958"/>
      <c r="E34" s="959"/>
      <c r="F34" s="948" t="str">
        <f t="shared" si="100"/>
        <v/>
      </c>
      <c r="G34" s="961"/>
      <c r="H34" s="962"/>
      <c r="I34" s="963" t="str">
        <f t="shared" si="3"/>
        <v/>
      </c>
      <c r="J34" s="964" t="str">
        <f t="shared" si="4"/>
        <v/>
      </c>
      <c r="K34" s="965">
        <f t="shared" si="5"/>
        <v>0</v>
      </c>
      <c r="L34" s="966">
        <f t="shared" si="6"/>
        <v>0</v>
      </c>
      <c r="M34" s="955"/>
      <c r="N34" s="956"/>
      <c r="O34" s="949"/>
      <c r="P34" s="927" t="str">
        <f>IF(M34="","",IF(O34="",ABS(M34)*(1+'Cálculo-Instalação Colectiva-MP'!$L$13),ABS(M34)+O34))</f>
        <v/>
      </c>
      <c r="Q34" s="928" t="str">
        <f t="shared" si="7"/>
        <v/>
      </c>
      <c r="R34" s="935" t="str">
        <f t="shared" si="8"/>
        <v/>
      </c>
      <c r="S34" s="111" t="str">
        <f t="shared" si="9"/>
        <v/>
      </c>
      <c r="T34" s="926"/>
      <c r="U34" s="610" t="str">
        <f>IF(S34="","",IF(T34&lt;&gt;"",T34,S34))</f>
        <v/>
      </c>
      <c r="V34" s="936" t="str">
        <f>IF(OR(S34="",S34=0),"",IF($U34&gt;'Quadro 3'!$F$23,'Quadro 3'!$F$23,IF($U34&lt;'Quadro 3'!$F$10,'Quadro 3'!$F$10,MIN($W34,$X34))))</f>
        <v/>
      </c>
      <c r="W34" s="937" t="str">
        <f>IF(AND(AW34&lt;&gt;2,$U34&lt;='Quadro 3'!$F$10),'Quadro 3'!$F$10,IF($U34&lt;='Quadro 3'!$F$11,'Quadro 3'!$F$11,IF($U34&lt;='Quadro 3'!$F$12,'Quadro 3'!$F$12,IF($U34&lt;='Quadro 3'!$F$13,'Quadro 3'!$F$13,IF($U34&lt;='Quadro 3'!$F$14,'Quadro 3'!$F$14,IF($U34&lt;='Quadro 3'!$F$15,'Quadro 3'!$F$15,IF($U34&lt;='Quadro 3'!$F$16,'Quadro 3'!$F$16,"")))))))</f>
        <v/>
      </c>
      <c r="X34" s="938" t="str">
        <f>IF(OR(S34="",S34=0),"",IF($U34&lt;='Quadro 3'!$F$17,'Quadro 3'!$F$17,IF($U34&lt;='Quadro 3'!$F$18,'Quadro 3'!$F$18,IF($U34&lt;='Quadro 3'!$F$19,'Quadro 3'!$F$19,IF($U34&lt;='Quadro 3'!$F$20,'Quadro 3'!$F$20,IF($U34&lt;='Quadro 3'!$F$21,'Quadro 3'!$F$21,IF($U34&lt;='Quadro 3'!$F$22,'Quadro 3'!$F$22,IF($U34&lt;='Quadro 3'!$F$23,'Quadro 3'!$F$23,'Quadro 3'!$F$23))))))))</f>
        <v/>
      </c>
      <c r="Y34" s="936" t="str">
        <f>IF($V34="","",LOOKUP($V34,'Quadro 3'!$F$9:$F$23,'Quadro 3'!$G$9:$G$23))</f>
        <v/>
      </c>
      <c r="Z34" s="1129" t="str">
        <f>IF($V34="","",LOOKUP($V34,'Quadro 3'!$F$9:$F$23,'Quadro 3'!$D$9:$D$23))</f>
        <v/>
      </c>
      <c r="AA34" s="939" t="str">
        <f>IF($V34="","",LOOKUP($V34,'Quadro 3'!$F$9:$F$23,'Quadro 3'!$E$9:$E$23))</f>
        <v/>
      </c>
      <c r="AB34" s="929" t="str">
        <f t="shared" si="11"/>
        <v/>
      </c>
      <c r="AC34" s="930" t="str">
        <f t="shared" si="65"/>
        <v/>
      </c>
      <c r="AD34" s="1121" t="str">
        <f t="shared" si="66"/>
        <v/>
      </c>
      <c r="AE34" s="1123" t="str">
        <f t="shared" si="95"/>
        <v/>
      </c>
      <c r="AF34" s="931" t="str">
        <f>IF(AD34="","",(AB34-AD34))</f>
        <v/>
      </c>
      <c r="AG34" s="932" t="str">
        <f t="shared" si="13"/>
        <v/>
      </c>
      <c r="AH34" s="1153" t="str">
        <f t="shared" si="14"/>
        <v/>
      </c>
      <c r="AI34" s="1154"/>
      <c r="AJ34" s="940"/>
      <c r="AK34" s="941"/>
      <c r="AL34" s="933" t="str">
        <f t="shared" si="96"/>
        <v/>
      </c>
      <c r="AM34" s="1153" t="str">
        <f t="shared" si="15"/>
        <v/>
      </c>
      <c r="AN34" s="1154"/>
      <c r="AO34" s="17"/>
      <c r="AP34" s="909" t="str">
        <f t="shared" si="67"/>
        <v/>
      </c>
      <c r="AV34" s="1117">
        <f t="shared" si="68"/>
        <v>0</v>
      </c>
      <c r="AW34" s="906" t="str">
        <f>IF(OR('Cálculo-Instalação Colectiva-MP'!$I$5&lt;&gt;1,S34="",S34=0),"",IF(OR(AND(G34&lt;&gt;"",H34=""),AND(G34="",H34&lt;&gt;"")),1,2))</f>
        <v/>
      </c>
      <c r="AY34" s="241">
        <f t="shared" si="16"/>
        <v>0</v>
      </c>
      <c r="AZ34" s="263" t="str">
        <f t="shared" si="17"/>
        <v/>
      </c>
      <c r="BA34" s="263" t="str">
        <f t="shared" si="18"/>
        <v/>
      </c>
      <c r="BB34" s="263"/>
      <c r="BI34" s="350" t="str">
        <f t="shared" si="69"/>
        <v>0</v>
      </c>
      <c r="BJ34" s="350">
        <f t="shared" si="70"/>
        <v>0</v>
      </c>
      <c r="BM34" s="911" t="str">
        <f t="shared" si="71"/>
        <v/>
      </c>
      <c r="BV34" s="350" t="str">
        <f t="shared" si="72"/>
        <v/>
      </c>
      <c r="BW34" s="235" t="str">
        <f t="shared" si="73"/>
        <v/>
      </c>
      <c r="BX34" s="235" t="str">
        <f t="shared" si="74"/>
        <v/>
      </c>
      <c r="BY34" s="235" t="str">
        <f t="shared" si="75"/>
        <v/>
      </c>
      <c r="BZ34" s="235" t="str">
        <f t="shared" si="76"/>
        <v/>
      </c>
      <c r="CA34" s="235" t="str">
        <f t="shared" si="77"/>
        <v/>
      </c>
      <c r="CB34" s="235" t="str">
        <f t="shared" si="78"/>
        <v/>
      </c>
      <c r="CC34" s="235" t="str">
        <f t="shared" si="79"/>
        <v/>
      </c>
      <c r="CD34" s="235" t="str">
        <f t="shared" si="80"/>
        <v/>
      </c>
      <c r="CE34" s="235" t="str">
        <f t="shared" si="81"/>
        <v/>
      </c>
      <c r="CF34" s="235" t="str">
        <f t="shared" si="82"/>
        <v/>
      </c>
      <c r="CQ34" s="2">
        <v>9</v>
      </c>
      <c r="CV34" s="209" t="str">
        <f t="shared" si="97"/>
        <v/>
      </c>
      <c r="CW34" s="204" t="str">
        <f t="shared" si="98"/>
        <v/>
      </c>
      <c r="CX34" s="43">
        <f t="shared" si="99"/>
        <v>0</v>
      </c>
      <c r="CY34" s="163" t="str">
        <f t="shared" si="19"/>
        <v/>
      </c>
      <c r="CZ34" s="45" t="str">
        <f t="shared" si="20"/>
        <v/>
      </c>
      <c r="DA34" s="46">
        <f t="shared" si="21"/>
        <v>0</v>
      </c>
      <c r="DB34" s="47" t="str">
        <f t="shared" si="22"/>
        <v/>
      </c>
      <c r="DC34" s="123">
        <f t="shared" si="23"/>
        <v>0</v>
      </c>
      <c r="DD34" s="123">
        <f t="shared" si="24"/>
        <v>0</v>
      </c>
      <c r="DE34" s="123"/>
      <c r="DF34" s="48">
        <f>IF(OR(DB34="",DB34=0),0,MAX(DC34:DD34:DE34))</f>
        <v>0</v>
      </c>
      <c r="DG34" s="115" t="str">
        <f t="shared" si="83"/>
        <v/>
      </c>
      <c r="DH34" s="51" t="str">
        <f t="shared" si="84"/>
        <v/>
      </c>
      <c r="DI34" s="51"/>
      <c r="DJ34" s="49" t="str">
        <f t="shared" si="85"/>
        <v/>
      </c>
      <c r="DK34" s="123">
        <f t="shared" si="25"/>
        <v>0</v>
      </c>
      <c r="DL34" s="123">
        <f t="shared" si="26"/>
        <v>0</v>
      </c>
      <c r="DM34" s="123"/>
      <c r="DN34" s="48">
        <f>IF(OR(DJ34="",DJ34=0),0,MAX(DK34:DL34:DM34))</f>
        <v>0</v>
      </c>
      <c r="DO34" s="115" t="str">
        <f t="shared" si="27"/>
        <v/>
      </c>
      <c r="DP34" s="51" t="str">
        <f t="shared" si="86"/>
        <v/>
      </c>
      <c r="DQ34" s="51"/>
      <c r="DR34" s="49" t="str">
        <f t="shared" si="28"/>
        <v/>
      </c>
      <c r="DS34" s="123">
        <f t="shared" si="29"/>
        <v>0</v>
      </c>
      <c r="DT34" s="123">
        <f t="shared" si="30"/>
        <v>0</v>
      </c>
      <c r="DU34" s="123"/>
      <c r="DV34" s="48">
        <f>IF(OR(DR34="",DR34=0),0,MAX(DS34:DT34:DU34))</f>
        <v>0</v>
      </c>
      <c r="DW34" s="115" t="str">
        <f t="shared" si="31"/>
        <v/>
      </c>
      <c r="DX34" s="51" t="str">
        <f t="shared" si="87"/>
        <v/>
      </c>
      <c r="DY34" s="51"/>
      <c r="DZ34" s="49" t="str">
        <f t="shared" si="32"/>
        <v/>
      </c>
      <c r="EA34" s="123">
        <f t="shared" si="33"/>
        <v>0</v>
      </c>
      <c r="EB34" s="123">
        <f t="shared" si="34"/>
        <v>0</v>
      </c>
      <c r="EC34" s="123"/>
      <c r="ED34" s="48">
        <f>IF(OR(DZ34="",DZ34=0),0,MAX(EA34:EB34:EC34))</f>
        <v>0</v>
      </c>
      <c r="EE34" s="115" t="str">
        <f t="shared" si="35"/>
        <v/>
      </c>
      <c r="EF34" s="51" t="str">
        <f t="shared" si="88"/>
        <v/>
      </c>
      <c r="EG34" s="51"/>
      <c r="EH34" s="49" t="str">
        <f t="shared" si="36"/>
        <v/>
      </c>
      <c r="EI34" s="123">
        <f t="shared" si="37"/>
        <v>0</v>
      </c>
      <c r="EJ34" s="123">
        <f t="shared" si="38"/>
        <v>0</v>
      </c>
      <c r="EK34" s="123"/>
      <c r="EL34" s="48">
        <f>IF(OR(EH34="",EH34=0),0,MAX(EI34:EJ34:EK34))</f>
        <v>0</v>
      </c>
      <c r="EM34" s="115" t="str">
        <f t="shared" si="39"/>
        <v/>
      </c>
      <c r="EN34" s="51" t="str">
        <f t="shared" si="89"/>
        <v/>
      </c>
      <c r="EO34" s="51"/>
      <c r="EP34" s="49" t="str">
        <f t="shared" si="40"/>
        <v/>
      </c>
      <c r="EQ34" s="123">
        <f t="shared" si="41"/>
        <v>0</v>
      </c>
      <c r="ER34" s="123">
        <f t="shared" si="42"/>
        <v>0</v>
      </c>
      <c r="ES34" s="123"/>
      <c r="ET34" s="48">
        <f>IF(OR(EP34="",EP34=0),0,MAX(EQ34:ER34:ES34))</f>
        <v>0</v>
      </c>
      <c r="EU34" s="115" t="str">
        <f t="shared" si="43"/>
        <v/>
      </c>
      <c r="EV34" s="51" t="str">
        <f t="shared" si="90"/>
        <v/>
      </c>
      <c r="EW34" s="51"/>
      <c r="EX34" s="49" t="str">
        <f t="shared" si="44"/>
        <v/>
      </c>
      <c r="EY34" s="123">
        <f t="shared" si="45"/>
        <v>0</v>
      </c>
      <c r="EZ34" s="123">
        <f t="shared" si="46"/>
        <v>0</v>
      </c>
      <c r="FA34" s="123"/>
      <c r="FB34" s="48">
        <f>IF(OR(EX34="",EX34=0),0,MAX(EY34:EZ34:FA34))</f>
        <v>0</v>
      </c>
      <c r="FC34" s="115" t="str">
        <f t="shared" si="47"/>
        <v/>
      </c>
      <c r="FD34" s="51" t="str">
        <f t="shared" si="91"/>
        <v/>
      </c>
      <c r="FE34" s="51"/>
      <c r="FF34" s="49" t="str">
        <f t="shared" si="48"/>
        <v/>
      </c>
      <c r="FG34" s="123">
        <f t="shared" si="49"/>
        <v>0</v>
      </c>
      <c r="FH34" s="123">
        <f t="shared" si="50"/>
        <v>0</v>
      </c>
      <c r="FI34" s="123"/>
      <c r="FJ34" s="48">
        <f>IF(OR(FF34="",FF34=0),0,MAX(FG34:FH34:FI34))</f>
        <v>0</v>
      </c>
      <c r="FK34" s="115" t="str">
        <f t="shared" si="51"/>
        <v/>
      </c>
      <c r="FL34" s="51" t="str">
        <f t="shared" si="92"/>
        <v/>
      </c>
      <c r="FM34" s="51"/>
      <c r="FN34" s="49" t="str">
        <f t="shared" si="52"/>
        <v/>
      </c>
      <c r="FO34" s="123">
        <f t="shared" si="53"/>
        <v>0</v>
      </c>
      <c r="FP34" s="123">
        <f t="shared" si="54"/>
        <v>0</v>
      </c>
      <c r="FQ34" s="123"/>
      <c r="FR34" s="48">
        <f>IF(OR(FN34="",FN34=0),0,MAX(FO34:FP34:FQ34))</f>
        <v>0</v>
      </c>
      <c r="FS34" s="115" t="str">
        <f t="shared" si="55"/>
        <v/>
      </c>
      <c r="FT34" s="51" t="str">
        <f t="shared" si="93"/>
        <v/>
      </c>
      <c r="FU34" s="51"/>
      <c r="FV34" s="49" t="str">
        <f t="shared" si="56"/>
        <v/>
      </c>
      <c r="FW34" s="123">
        <f t="shared" si="57"/>
        <v>0</v>
      </c>
      <c r="FX34" s="123">
        <f t="shared" si="58"/>
        <v>0</v>
      </c>
      <c r="FY34" s="123"/>
      <c r="FZ34" s="48">
        <f>IF(OR(FV34="",FV34=0),0,MAX(FW34:FX34:FY34))</f>
        <v>0</v>
      </c>
      <c r="GA34" s="115" t="str">
        <f t="shared" si="59"/>
        <v/>
      </c>
      <c r="GB34" s="51" t="str">
        <f t="shared" si="94"/>
        <v/>
      </c>
      <c r="GC34" s="51"/>
      <c r="GD34" s="49" t="str">
        <f t="shared" si="60"/>
        <v/>
      </c>
      <c r="GE34" s="123">
        <f t="shared" si="61"/>
        <v>0</v>
      </c>
      <c r="GF34" s="123">
        <f t="shared" si="62"/>
        <v>0</v>
      </c>
      <c r="GG34" s="123"/>
      <c r="GH34" s="48">
        <f>IF(OR(GD34="",GD34=0),0,MAX(GE34:GF34:GG34))</f>
        <v>0</v>
      </c>
    </row>
    <row r="35" spans="1:190" s="16" customFormat="1" ht="18" customHeight="1" thickTop="1" thickBot="1" x14ac:dyDescent="0.35">
      <c r="A35" s="902" t="str">
        <f t="shared" si="63"/>
        <v/>
      </c>
      <c r="B35" s="826" t="str">
        <f t="shared" si="64"/>
        <v/>
      </c>
      <c r="C35" s="843" t="str">
        <f>IF(B35="","",SUM(B$26:B35))</f>
        <v/>
      </c>
      <c r="D35" s="958"/>
      <c r="E35" s="959"/>
      <c r="F35" s="948" t="str">
        <f t="shared" si="100"/>
        <v/>
      </c>
      <c r="G35" s="961"/>
      <c r="H35" s="962"/>
      <c r="I35" s="963" t="str">
        <f t="shared" si="3"/>
        <v/>
      </c>
      <c r="J35" s="964" t="str">
        <f t="shared" si="4"/>
        <v/>
      </c>
      <c r="K35" s="965">
        <f t="shared" si="5"/>
        <v>0</v>
      </c>
      <c r="L35" s="966">
        <f t="shared" si="6"/>
        <v>0</v>
      </c>
      <c r="M35" s="955"/>
      <c r="N35" s="956"/>
      <c r="O35" s="949"/>
      <c r="P35" s="927" t="str">
        <f>IF(M35="","",IF(O35="",ABS(M35)*(1+'Cálculo-Instalação Colectiva-MP'!$L$13),ABS(M35)+O35))</f>
        <v/>
      </c>
      <c r="Q35" s="928" t="str">
        <f t="shared" si="7"/>
        <v/>
      </c>
      <c r="R35" s="935" t="str">
        <f t="shared" si="8"/>
        <v/>
      </c>
      <c r="S35" s="111" t="str">
        <f t="shared" si="9"/>
        <v/>
      </c>
      <c r="T35" s="926"/>
      <c r="U35" s="610" t="str">
        <f>IF(S35="","",IF(T35&lt;&gt;"",T35,S35))</f>
        <v/>
      </c>
      <c r="V35" s="936" t="str">
        <f>IF(OR(S35="",S35=0),"",IF($U35&gt;'Quadro 3'!$F$23,'Quadro 3'!$F$23,IF($U35&lt;'Quadro 3'!$F$10,'Quadro 3'!$F$10,MIN($W35,$X35))))</f>
        <v/>
      </c>
      <c r="W35" s="937" t="str">
        <f>IF(AND(AW35&lt;&gt;2,$U35&lt;='Quadro 3'!$F$10),'Quadro 3'!$F$10,IF($U35&lt;='Quadro 3'!$F$11,'Quadro 3'!$F$11,IF($U35&lt;='Quadro 3'!$F$12,'Quadro 3'!$F$12,IF($U35&lt;='Quadro 3'!$F$13,'Quadro 3'!$F$13,IF($U35&lt;='Quadro 3'!$F$14,'Quadro 3'!$F$14,IF($U35&lt;='Quadro 3'!$F$15,'Quadro 3'!$F$15,IF($U35&lt;='Quadro 3'!$F$16,'Quadro 3'!$F$16,"")))))))</f>
        <v/>
      </c>
      <c r="X35" s="938" t="str">
        <f>IF(OR(S35="",S35=0),"",IF($U35&lt;='Quadro 3'!$F$17,'Quadro 3'!$F$17,IF($U35&lt;='Quadro 3'!$F$18,'Quadro 3'!$F$18,IF($U35&lt;='Quadro 3'!$F$19,'Quadro 3'!$F$19,IF($U35&lt;='Quadro 3'!$F$20,'Quadro 3'!$F$20,IF($U35&lt;='Quadro 3'!$F$21,'Quadro 3'!$F$21,IF($U35&lt;='Quadro 3'!$F$22,'Quadro 3'!$F$22,IF($U35&lt;='Quadro 3'!$F$23,'Quadro 3'!$F$23,'Quadro 3'!$F$23))))))))</f>
        <v/>
      </c>
      <c r="Y35" s="936" t="str">
        <f>IF($V35="","",LOOKUP($V35,'Quadro 3'!$F$9:$F$23,'Quadro 3'!$G$9:$G$23))</f>
        <v/>
      </c>
      <c r="Z35" s="1129" t="str">
        <f>IF($V35="","",LOOKUP($V35,'Quadro 3'!$F$9:$F$23,'Quadro 3'!$D$9:$D$23))</f>
        <v/>
      </c>
      <c r="AA35" s="939" t="str">
        <f>IF($V35="","",LOOKUP($V35,'Quadro 3'!$F$9:$F$23,'Quadro 3'!$E$9:$E$23))</f>
        <v/>
      </c>
      <c r="AB35" s="929" t="str">
        <f t="shared" si="11"/>
        <v/>
      </c>
      <c r="AC35" s="930" t="str">
        <f t="shared" si="65"/>
        <v/>
      </c>
      <c r="AD35" s="1121" t="str">
        <f t="shared" si="66"/>
        <v/>
      </c>
      <c r="AE35" s="1123" t="str">
        <f t="shared" si="95"/>
        <v/>
      </c>
      <c r="AF35" s="931" t="str">
        <f>IF(AD35="","",(AB35-AD35))</f>
        <v/>
      </c>
      <c r="AG35" s="932" t="str">
        <f t="shared" si="13"/>
        <v/>
      </c>
      <c r="AH35" s="1153" t="str">
        <f t="shared" si="14"/>
        <v/>
      </c>
      <c r="AI35" s="1154"/>
      <c r="AJ35" s="940"/>
      <c r="AK35" s="941"/>
      <c r="AL35" s="933" t="str">
        <f t="shared" si="96"/>
        <v/>
      </c>
      <c r="AM35" s="1153" t="str">
        <f t="shared" si="15"/>
        <v/>
      </c>
      <c r="AN35" s="1154"/>
      <c r="AO35" s="17"/>
      <c r="AP35" s="909" t="str">
        <f t="shared" si="67"/>
        <v/>
      </c>
      <c r="AV35" s="1117">
        <f t="shared" si="68"/>
        <v>0</v>
      </c>
      <c r="AW35" s="906" t="str">
        <f>IF(OR('Cálculo-Instalação Colectiva-MP'!$I$5&lt;&gt;1,S35="",S35=0),"",IF(OR(AND(G35&lt;&gt;"",H35=""),AND(G35="",H35&lt;&gt;"")),1,2))</f>
        <v/>
      </c>
      <c r="AY35" s="241">
        <f t="shared" si="16"/>
        <v>0</v>
      </c>
      <c r="AZ35" s="263" t="str">
        <f t="shared" si="17"/>
        <v/>
      </c>
      <c r="BA35" s="263" t="str">
        <f t="shared" si="18"/>
        <v/>
      </c>
      <c r="BB35" s="263"/>
      <c r="BI35" s="350" t="str">
        <f t="shared" si="69"/>
        <v>0</v>
      </c>
      <c r="BJ35" s="350">
        <f t="shared" si="70"/>
        <v>0</v>
      </c>
      <c r="BM35" s="911" t="str">
        <f t="shared" si="71"/>
        <v/>
      </c>
      <c r="BV35" s="350" t="str">
        <f t="shared" si="72"/>
        <v/>
      </c>
      <c r="BW35" s="235" t="str">
        <f t="shared" si="73"/>
        <v/>
      </c>
      <c r="BX35" s="235" t="str">
        <f t="shared" si="74"/>
        <v/>
      </c>
      <c r="BY35" s="235" t="str">
        <f t="shared" si="75"/>
        <v/>
      </c>
      <c r="BZ35" s="235" t="str">
        <f t="shared" si="76"/>
        <v/>
      </c>
      <c r="CA35" s="235" t="str">
        <f t="shared" si="77"/>
        <v/>
      </c>
      <c r="CB35" s="235" t="str">
        <f t="shared" si="78"/>
        <v/>
      </c>
      <c r="CC35" s="235" t="str">
        <f t="shared" si="79"/>
        <v/>
      </c>
      <c r="CD35" s="235" t="str">
        <f t="shared" si="80"/>
        <v/>
      </c>
      <c r="CE35" s="235" t="str">
        <f t="shared" si="81"/>
        <v/>
      </c>
      <c r="CF35" s="235" t="str">
        <f t="shared" si="82"/>
        <v/>
      </c>
      <c r="CQ35" s="2">
        <v>10</v>
      </c>
      <c r="CV35" s="209" t="str">
        <f t="shared" si="97"/>
        <v/>
      </c>
      <c r="CW35" s="204" t="str">
        <f t="shared" si="98"/>
        <v/>
      </c>
      <c r="CX35" s="43">
        <f t="shared" si="99"/>
        <v>0</v>
      </c>
      <c r="CY35" s="163" t="str">
        <f t="shared" si="19"/>
        <v/>
      </c>
      <c r="CZ35" s="45" t="str">
        <f t="shared" si="20"/>
        <v/>
      </c>
      <c r="DA35" s="46">
        <f t="shared" si="21"/>
        <v>0</v>
      </c>
      <c r="DB35" s="47" t="str">
        <f t="shared" si="22"/>
        <v/>
      </c>
      <c r="DC35" s="123">
        <f t="shared" si="23"/>
        <v>0</v>
      </c>
      <c r="DD35" s="123">
        <f t="shared" si="24"/>
        <v>0</v>
      </c>
      <c r="DE35" s="123"/>
      <c r="DF35" s="48">
        <f>IF(OR(DB35="",DB35=0),0,MAX(DC35:DD35:DE35))</f>
        <v>0</v>
      </c>
      <c r="DG35" s="115" t="str">
        <f t="shared" si="83"/>
        <v/>
      </c>
      <c r="DH35" s="51" t="str">
        <f t="shared" si="84"/>
        <v/>
      </c>
      <c r="DI35" s="51"/>
      <c r="DJ35" s="49" t="str">
        <f t="shared" si="85"/>
        <v/>
      </c>
      <c r="DK35" s="123">
        <f t="shared" si="25"/>
        <v>0</v>
      </c>
      <c r="DL35" s="123">
        <f t="shared" si="26"/>
        <v>0</v>
      </c>
      <c r="DM35" s="123"/>
      <c r="DN35" s="48">
        <f>IF(OR(DJ35="",DJ35=0),0,MAX(DK35:DL35:DM35))</f>
        <v>0</v>
      </c>
      <c r="DO35" s="115" t="str">
        <f t="shared" si="27"/>
        <v/>
      </c>
      <c r="DP35" s="51" t="str">
        <f t="shared" si="86"/>
        <v/>
      </c>
      <c r="DQ35" s="51"/>
      <c r="DR35" s="49" t="str">
        <f t="shared" si="28"/>
        <v/>
      </c>
      <c r="DS35" s="123">
        <f t="shared" si="29"/>
        <v>0</v>
      </c>
      <c r="DT35" s="123">
        <f t="shared" si="30"/>
        <v>0</v>
      </c>
      <c r="DU35" s="123"/>
      <c r="DV35" s="48">
        <f>IF(OR(DR35="",DR35=0),0,MAX(DS35:DT35:DU35))</f>
        <v>0</v>
      </c>
      <c r="DW35" s="115" t="str">
        <f t="shared" si="31"/>
        <v/>
      </c>
      <c r="DX35" s="51" t="str">
        <f t="shared" si="87"/>
        <v/>
      </c>
      <c r="DY35" s="51"/>
      <c r="DZ35" s="49" t="str">
        <f t="shared" si="32"/>
        <v/>
      </c>
      <c r="EA35" s="123">
        <f t="shared" si="33"/>
        <v>0</v>
      </c>
      <c r="EB35" s="123">
        <f t="shared" si="34"/>
        <v>0</v>
      </c>
      <c r="EC35" s="123"/>
      <c r="ED35" s="48">
        <f>IF(OR(DZ35="",DZ35=0),0,MAX(EA35:EB35:EC35))</f>
        <v>0</v>
      </c>
      <c r="EE35" s="115" t="str">
        <f t="shared" si="35"/>
        <v/>
      </c>
      <c r="EF35" s="51" t="str">
        <f t="shared" si="88"/>
        <v/>
      </c>
      <c r="EG35" s="51"/>
      <c r="EH35" s="49" t="str">
        <f t="shared" si="36"/>
        <v/>
      </c>
      <c r="EI35" s="123">
        <f t="shared" si="37"/>
        <v>0</v>
      </c>
      <c r="EJ35" s="123">
        <f t="shared" si="38"/>
        <v>0</v>
      </c>
      <c r="EK35" s="123"/>
      <c r="EL35" s="48">
        <f>IF(OR(EH35="",EH35=0),0,MAX(EI35:EJ35:EK35))</f>
        <v>0</v>
      </c>
      <c r="EM35" s="115" t="str">
        <f t="shared" si="39"/>
        <v/>
      </c>
      <c r="EN35" s="51" t="str">
        <f t="shared" si="89"/>
        <v/>
      </c>
      <c r="EO35" s="51"/>
      <c r="EP35" s="49" t="str">
        <f t="shared" si="40"/>
        <v/>
      </c>
      <c r="EQ35" s="123">
        <f t="shared" si="41"/>
        <v>0</v>
      </c>
      <c r="ER35" s="123">
        <f t="shared" si="42"/>
        <v>0</v>
      </c>
      <c r="ES35" s="123"/>
      <c r="ET35" s="48">
        <f>IF(OR(EP35="",EP35=0),0,MAX(EQ35:ER35:ES35))</f>
        <v>0</v>
      </c>
      <c r="EU35" s="115" t="str">
        <f t="shared" si="43"/>
        <v/>
      </c>
      <c r="EV35" s="51" t="str">
        <f t="shared" si="90"/>
        <v/>
      </c>
      <c r="EW35" s="51"/>
      <c r="EX35" s="49" t="str">
        <f t="shared" si="44"/>
        <v/>
      </c>
      <c r="EY35" s="123">
        <f t="shared" si="45"/>
        <v>0</v>
      </c>
      <c r="EZ35" s="123">
        <f t="shared" si="46"/>
        <v>0</v>
      </c>
      <c r="FA35" s="123"/>
      <c r="FB35" s="48">
        <f>IF(OR(EX35="",EX35=0),0,MAX(EY35:EZ35:FA35))</f>
        <v>0</v>
      </c>
      <c r="FC35" s="115" t="str">
        <f t="shared" si="47"/>
        <v/>
      </c>
      <c r="FD35" s="51" t="str">
        <f t="shared" si="91"/>
        <v/>
      </c>
      <c r="FE35" s="51"/>
      <c r="FF35" s="49" t="str">
        <f t="shared" si="48"/>
        <v/>
      </c>
      <c r="FG35" s="123">
        <f t="shared" si="49"/>
        <v>0</v>
      </c>
      <c r="FH35" s="123">
        <f t="shared" si="50"/>
        <v>0</v>
      </c>
      <c r="FI35" s="123"/>
      <c r="FJ35" s="48">
        <f>IF(OR(FF35="",FF35=0),0,MAX(FG35:FH35:FI35))</f>
        <v>0</v>
      </c>
      <c r="FK35" s="115" t="str">
        <f t="shared" si="51"/>
        <v/>
      </c>
      <c r="FL35" s="51" t="str">
        <f t="shared" si="92"/>
        <v/>
      </c>
      <c r="FM35" s="51"/>
      <c r="FN35" s="49" t="str">
        <f t="shared" si="52"/>
        <v/>
      </c>
      <c r="FO35" s="123">
        <f t="shared" si="53"/>
        <v>0</v>
      </c>
      <c r="FP35" s="123">
        <f t="shared" si="54"/>
        <v>0</v>
      </c>
      <c r="FQ35" s="123"/>
      <c r="FR35" s="48">
        <f>IF(OR(FN35="",FN35=0),0,MAX(FO35:FP35:FQ35))</f>
        <v>0</v>
      </c>
      <c r="FS35" s="115" t="str">
        <f t="shared" si="55"/>
        <v/>
      </c>
      <c r="FT35" s="51" t="str">
        <f t="shared" si="93"/>
        <v/>
      </c>
      <c r="FU35" s="51"/>
      <c r="FV35" s="49" t="str">
        <f t="shared" si="56"/>
        <v/>
      </c>
      <c r="FW35" s="123">
        <f t="shared" si="57"/>
        <v>0</v>
      </c>
      <c r="FX35" s="123">
        <f t="shared" si="58"/>
        <v>0</v>
      </c>
      <c r="FY35" s="123"/>
      <c r="FZ35" s="48">
        <f>IF(OR(FV35="",FV35=0),0,MAX(FW35:FX35:FY35))</f>
        <v>0</v>
      </c>
      <c r="GA35" s="115" t="str">
        <f t="shared" si="59"/>
        <v/>
      </c>
      <c r="GB35" s="51" t="str">
        <f t="shared" si="94"/>
        <v/>
      </c>
      <c r="GC35" s="51"/>
      <c r="GD35" s="49" t="str">
        <f t="shared" si="60"/>
        <v/>
      </c>
      <c r="GE35" s="123">
        <f t="shared" si="61"/>
        <v>0</v>
      </c>
      <c r="GF35" s="123">
        <f t="shared" si="62"/>
        <v>0</v>
      </c>
      <c r="GG35" s="123"/>
      <c r="GH35" s="48">
        <f>IF(OR(GD35="",GD35=0),0,MAX(GE35:GF35:GG35))</f>
        <v>0</v>
      </c>
    </row>
    <row r="36" spans="1:190" s="16" customFormat="1" ht="13.3" thickTop="1" thickBot="1" x14ac:dyDescent="0.35">
      <c r="B36" s="393"/>
      <c r="C36" s="92"/>
      <c r="D36" s="93"/>
      <c r="E36" s="94"/>
      <c r="F36" s="828"/>
      <c r="G36" s="316" t="s">
        <v>402</v>
      </c>
      <c r="H36" s="828"/>
      <c r="I36" s="828"/>
      <c r="J36" s="828"/>
      <c r="K36" s="828"/>
      <c r="L36" s="828"/>
      <c r="M36" s="835"/>
      <c r="O36" s="833"/>
      <c r="P36" s="834"/>
      <c r="S36" s="830"/>
      <c r="T36" s="329"/>
      <c r="U36" s="329"/>
      <c r="V36" s="316" t="str">
        <f>IF(V37="","","Consumo de tubos por cada 1ª Instalação Individual")</f>
        <v/>
      </c>
      <c r="W36" s="831"/>
      <c r="X36" s="831"/>
      <c r="Y36" s="831"/>
      <c r="Z36" s="391"/>
      <c r="AA36" s="832"/>
      <c r="AB36" s="265"/>
      <c r="AC36" s="266"/>
      <c r="AD36" s="319"/>
      <c r="AE36" s="316"/>
      <c r="AG36" s="308"/>
      <c r="AH36" s="309"/>
      <c r="AI36" s="512"/>
      <c r="AJ36" s="310"/>
      <c r="AK36" s="316"/>
      <c r="AL36" s="317"/>
      <c r="AM36" s="309"/>
      <c r="AN36" s="318"/>
      <c r="AO36" s="17"/>
      <c r="AP36" s="910" t="str">
        <f>IF(AW36&lt;&gt;0,"Atenção: No troço assinalado a vermelho deve-se adoptar uma dimensão mínima de 3/4 (DN 20), conforme nota 4).","")</f>
        <v/>
      </c>
      <c r="AQ36" s="264"/>
      <c r="AR36" s="264"/>
      <c r="AW36" s="907">
        <f>SUM(AP26:AP35)</f>
        <v>0</v>
      </c>
      <c r="BT36" s="254" t="s">
        <v>256</v>
      </c>
      <c r="BU36" s="232"/>
      <c r="BV36" s="232"/>
      <c r="BW36" s="232"/>
      <c r="BX36" s="232"/>
      <c r="BY36" s="232"/>
      <c r="BZ36" s="232"/>
      <c r="CA36" s="232"/>
      <c r="CB36" s="232"/>
      <c r="CC36" s="232"/>
      <c r="CD36" s="232"/>
      <c r="CE36" s="232"/>
    </row>
    <row r="37" spans="1:190" s="16" customFormat="1" ht="14.25" customHeight="1" thickTop="1" thickBot="1" x14ac:dyDescent="0.35">
      <c r="C37" s="92"/>
      <c r="D37" s="101"/>
      <c r="F37" s="389"/>
      <c r="G37" s="840" t="s">
        <v>371</v>
      </c>
      <c r="H37" s="836"/>
      <c r="I37" s="837"/>
      <c r="J37" s="837"/>
      <c r="K37" s="837"/>
      <c r="L37" s="837"/>
      <c r="M37" s="839"/>
      <c r="N37" s="159" t="s">
        <v>388</v>
      </c>
      <c r="O37" s="170" t="s">
        <v>27</v>
      </c>
      <c r="P37" s="946" t="str">
        <f>IF(OR($CX25="",$CX25=0),"",$CX25)</f>
        <v/>
      </c>
      <c r="V37" s="315" t="str">
        <f>IF(OR($AZ79="",$AZ79=0),"",$AZ79)</f>
        <v/>
      </c>
      <c r="W37" s="389"/>
      <c r="X37" s="389"/>
      <c r="Y37" s="511" t="str">
        <f>IF(OR($AZ79="",$AZ79=0),"",$BA79)</f>
        <v/>
      </c>
      <c r="Z37" s="1135" t="str">
        <f>IF(OR($AZ79="",$AZ79=0),"","- Tubo Aço ("&amp;$AY79&amp;")")</f>
        <v/>
      </c>
      <c r="AA37" s="1199"/>
      <c r="AB37" s="294"/>
      <c r="AC37" s="307"/>
      <c r="AD37" s="313"/>
      <c r="AE37" s="313"/>
      <c r="AJ37" s="313"/>
      <c r="AK37" s="513" t="str">
        <f>IF(OR($AZ82="",$AZ82=0),"",$AZ82)</f>
        <v/>
      </c>
      <c r="AL37" s="337" t="str">
        <f>IF(OR($AZ82="",$AZ82=0),"",$BA82)</f>
        <v/>
      </c>
      <c r="AM37" s="1203" t="str">
        <f>IF(OR($AZ82="",$AZ82=0),"","- Tubo Aço ("&amp;$AY82&amp;")")</f>
        <v/>
      </c>
      <c r="AN37" s="1137"/>
      <c r="AO37" s="17"/>
      <c r="AP37" s="264"/>
      <c r="AQ37" s="264"/>
      <c r="AR37" s="264"/>
      <c r="BT37" s="256"/>
      <c r="BW37" s="245">
        <f>IF(MAX(BW44:CF44)=MIN(BW44:CF44),$CF$37,IF(OR($CC37="erro",$CC38="erro",$CC39="erro"),"",$BX$37))</f>
        <v>0</v>
      </c>
      <c r="BX37" s="262" t="str">
        <f>IF(BY37&lt;&gt;"",BY37,IF(BY38&lt;&gt;"",BY38,IF(BY39&lt;&gt;"",BY39,"")))</f>
        <v/>
      </c>
      <c r="BY37" s="244" t="str">
        <f>IF(BZ37&lt;&gt;"",BZ37,IF(CA37&lt;&gt;"",CA37,IF(CB37&lt;&gt;"",CB37,"")))</f>
        <v/>
      </c>
      <c r="BZ37" s="243" t="str">
        <f>IF(BW41&lt;&gt;"",BW41,IF(BX41&lt;&gt;"",BX41,IF(BY41&lt;&gt;"",BY41,IF(BZ41&lt;&gt;"",BZ41,IF(CA41&lt;&gt;"",CA41,IF(CB41&lt;&gt;"",CB41,IF(CC41&lt;&gt;"",CC41,"")))))))</f>
        <v/>
      </c>
      <c r="CA37" s="243" t="str">
        <f>IF(CD41&lt;&gt;"",CD41,IF(CE41&lt;&gt;"",CE41,IF(CF41&lt;&gt;"",CF41,"")))</f>
        <v/>
      </c>
      <c r="CB37" s="243"/>
      <c r="CC37" s="261" t="str">
        <f>IF($BX$37=$E47,"erro",IF($BX$37=$E48,"erro",IF($BX$37=$E49,"erro",IF($BX$37=$E50,"erro",IF($BX$37=$E51,"erro",IF($BX$37=$E52,"erro",IF($BX$37=$E53,"erro","")))))))</f>
        <v>erro</v>
      </c>
      <c r="CD37" s="2"/>
      <c r="CE37" s="340">
        <f>IF($BX$37=$E47,$D47,IF($BX$37=$E48,$D48,IF($BX$37=$E49,$D49,IF($BX$37=$E50,$D50,IF($BX$37=$E51,$D51,IF($BX$37=$E52,$D52,IF($BX$37=$E53,$D53,"")))))))</f>
        <v>0</v>
      </c>
      <c r="CF37" s="340">
        <f>IF(CE37&lt;&gt;"",CE37,IF(CE38&lt;&gt;"",CE38,IF(CE39&lt;&gt;"",CE39,"")))</f>
        <v>0</v>
      </c>
    </row>
    <row r="38" spans="1:190" s="16" customFormat="1" ht="14.25" customHeight="1" thickTop="1" thickBot="1" x14ac:dyDescent="0.35">
      <c r="C38" s="92"/>
      <c r="D38" s="104"/>
      <c r="E38" s="100"/>
      <c r="F38" s="766"/>
      <c r="G38" s="840" t="s">
        <v>372</v>
      </c>
      <c r="H38" s="836"/>
      <c r="I38" s="825"/>
      <c r="J38" s="836"/>
      <c r="K38" s="836"/>
      <c r="L38" s="836"/>
      <c r="M38" s="839"/>
      <c r="N38" s="159" t="s">
        <v>389</v>
      </c>
      <c r="O38" s="170" t="s">
        <v>27</v>
      </c>
      <c r="P38" s="927" t="str">
        <f>IF(P37="","",P37*1.2)</f>
        <v/>
      </c>
      <c r="R38" s="657"/>
      <c r="U38" s="34"/>
      <c r="V38" s="315" t="str">
        <f>IF(OR($AZ80="",$AZ80=0),"",$AZ80)</f>
        <v/>
      </c>
      <c r="Y38" s="511" t="str">
        <f>IF(OR($AZ80="",$AZ80=0),"",$BA80)</f>
        <v/>
      </c>
      <c r="Z38" s="1135" t="str">
        <f>IF(OR($AZ80="",$AZ80=0),"","- Tubo Aço ("&amp;$AY80&amp;")")</f>
        <v/>
      </c>
      <c r="AA38" s="1199"/>
      <c r="AB38" s="294"/>
      <c r="AC38" s="307"/>
      <c r="AD38" s="313"/>
      <c r="AE38" s="313"/>
      <c r="AJ38" s="313"/>
      <c r="AK38" s="315" t="str">
        <f>IF(OR($AZ83="",$AZ83=0),"",$AZ83)</f>
        <v/>
      </c>
      <c r="AL38" s="302" t="str">
        <f>IF(OR($AZ83="",$AZ83=0),"",$BA83)</f>
        <v/>
      </c>
      <c r="AM38" s="1203" t="str">
        <f>IF(OR($AZ83="",$AZ83=0),"","- Tubo Aço ("&amp;$AY83&amp;")")</f>
        <v/>
      </c>
      <c r="AN38" s="1137"/>
      <c r="AO38" s="17"/>
      <c r="AP38" s="264"/>
      <c r="AQ38" s="264"/>
      <c r="AR38" s="264"/>
      <c r="BT38" s="256"/>
      <c r="BW38" s="2"/>
      <c r="BX38" s="2"/>
      <c r="BY38" s="244" t="str">
        <f>IF(BZ38&lt;&gt;"",BZ38,IF(CA38&lt;&gt;"",CA38,IF(CB38&lt;&gt;"",CB38,"")))</f>
        <v/>
      </c>
      <c r="BZ38" s="243" t="str">
        <f>IF(BW42&lt;&gt;"",BW42,IF(BX42&lt;&gt;"",BX42,IF(BY42&lt;&gt;"",BY42,IF(BZ42&lt;&gt;"",BZ42,IF(CA42&lt;&gt;"",CA42,IF(CB42&lt;&gt;"",CB42,IF(CC42&lt;&gt;"",CC42,"")))))))</f>
        <v/>
      </c>
      <c r="CA38" s="243" t="str">
        <f>IF(CD42&lt;&gt;"",CD42,IF(CE42&lt;&gt;"",CE42,IF(CF42&lt;&gt;"",CF42,"")))</f>
        <v/>
      </c>
      <c r="CB38" s="243"/>
      <c r="CC38" s="261" t="str">
        <f>IF($BX$37=$E54,"erro",IF($BX$37=$E55,"erro",IF($BX$37=$E56,"erro","")))</f>
        <v>erro</v>
      </c>
      <c r="CD38" s="2"/>
      <c r="CE38" s="340">
        <f>IF($BX$37=$E54,$D54,IF($BX$37=$E55,$D55,IF($BX$37=$E56,$D56,"")))</f>
        <v>0</v>
      </c>
      <c r="CF38" s="2"/>
    </row>
    <row r="39" spans="1:190" s="16" customFormat="1" ht="14.25" customHeight="1" thickTop="1" thickBot="1" x14ac:dyDescent="0.35">
      <c r="B39" s="382"/>
      <c r="C39" s="383"/>
      <c r="D39" s="1198"/>
      <c r="E39" s="1198"/>
      <c r="F39" s="384"/>
      <c r="G39" s="840" t="s">
        <v>401</v>
      </c>
      <c r="H39" s="838"/>
      <c r="I39" s="838"/>
      <c r="J39" s="838"/>
      <c r="K39" s="838"/>
      <c r="L39" s="838"/>
      <c r="M39" s="839"/>
      <c r="N39" s="755" t="s">
        <v>37</v>
      </c>
      <c r="O39" s="829" t="str">
        <f>IF('Cálculo-Instalação Colectiva-MP'!$K$17="x","kPa/m","mbar/m")</f>
        <v>mbar/m</v>
      </c>
      <c r="P39" s="947" t="str">
        <f>IF(OR(P38="",$BW$16=""),"",($N$11)/P38)</f>
        <v/>
      </c>
      <c r="R39" s="384"/>
      <c r="S39" s="384"/>
      <c r="T39" s="384"/>
      <c r="U39" s="384"/>
      <c r="V39" s="315" t="str">
        <f>IF(OR($AZ81="",$AZ81=0),"",$AZ81)</f>
        <v/>
      </c>
      <c r="W39" s="384"/>
      <c r="X39" s="384"/>
      <c r="Y39" s="511" t="str">
        <f>IF(OR($AZ81="",$AZ81=0),"",$BA81)</f>
        <v/>
      </c>
      <c r="Z39" s="1135" t="str">
        <f>IF(OR($AZ81="",$AZ81=0),"","- Tubo Aço ("&amp;$AY81&amp;")")</f>
        <v/>
      </c>
      <c r="AA39" s="1199"/>
      <c r="AB39" s="384"/>
      <c r="AC39" s="384"/>
      <c r="AD39" s="384"/>
      <c r="AE39" s="384"/>
      <c r="AJ39" s="384"/>
      <c r="AK39" s="384"/>
      <c r="AL39" s="384"/>
      <c r="AM39" s="1198"/>
      <c r="AN39" s="1206"/>
      <c r="AO39" s="17"/>
      <c r="AP39" s="264"/>
      <c r="AQ39" s="264"/>
      <c r="AR39" s="264"/>
      <c r="BT39" s="256"/>
      <c r="BW39" s="2"/>
      <c r="BX39" s="2"/>
      <c r="BY39" s="244" t="str">
        <f>IF(BZ39&lt;&gt;"",BZ39,IF(CA39&lt;&gt;"",CA39,IF(CB39&lt;&gt;"",CB39,"")))</f>
        <v/>
      </c>
      <c r="BZ39" s="243" t="str">
        <f>IF(BW43&lt;&gt;"",BW43,IF(BX43&lt;&gt;"",BX43,IF(BY43&lt;&gt;"",BY43,IF(BZ43&lt;&gt;"",BZ43,IF(CA43&lt;&gt;"",CA43,IF(CB43&lt;&gt;"",CB43,IF(CC43&lt;&gt;"",CC43,"")))))))</f>
        <v/>
      </c>
      <c r="CA39" s="243" t="str">
        <f>IF(CD43&lt;&gt;"",CD43,IF(CE43&lt;&gt;"",CE43,IF(CF43&lt;&gt;"",CF43,"")))</f>
        <v/>
      </c>
      <c r="CB39" s="243"/>
      <c r="CC39" s="261"/>
      <c r="CD39" s="2"/>
      <c r="CE39" s="340"/>
      <c r="CF39" s="2"/>
    </row>
    <row r="40" spans="1:190" s="16" customFormat="1" ht="14.25" hidden="1" customHeight="1" thickTop="1" thickBot="1" x14ac:dyDescent="0.35">
      <c r="C40" s="92"/>
      <c r="D40" s="285"/>
      <c r="E40" s="285"/>
      <c r="F40" s="287"/>
      <c r="G40" s="287"/>
      <c r="H40" s="287"/>
      <c r="I40" s="288"/>
      <c r="J40" s="288"/>
      <c r="K40" s="288"/>
      <c r="L40" s="288"/>
      <c r="M40" s="289"/>
      <c r="N40" s="290"/>
      <c r="O40" s="97"/>
      <c r="P40" s="97"/>
      <c r="Q40" s="291"/>
      <c r="R40" s="292"/>
      <c r="S40" s="110"/>
      <c r="T40" s="110"/>
      <c r="U40" s="110"/>
      <c r="V40" s="97"/>
      <c r="W40" s="97"/>
      <c r="X40" s="97"/>
      <c r="Y40" s="97"/>
      <c r="Z40" s="97"/>
      <c r="AA40" s="293"/>
      <c r="AB40" s="294"/>
      <c r="AC40" s="295"/>
      <c r="AD40" s="295"/>
      <c r="AE40" s="295"/>
      <c r="AF40" s="295"/>
      <c r="AG40" s="296"/>
      <c r="AH40" s="311"/>
      <c r="AI40" s="311"/>
      <c r="AJ40" s="295"/>
      <c r="AK40" s="295"/>
      <c r="AL40" s="312"/>
      <c r="AM40" s="311"/>
      <c r="AN40" s="311"/>
      <c r="AO40" s="17"/>
      <c r="AP40" s="264"/>
      <c r="AQ40" s="264"/>
      <c r="AR40" s="264"/>
      <c r="BT40" s="257"/>
      <c r="BW40" s="2"/>
      <c r="BX40" s="2"/>
      <c r="BY40" s="2"/>
      <c r="BZ40" s="2"/>
      <c r="CA40" s="2"/>
      <c r="CB40" s="2"/>
      <c r="CC40" s="2"/>
      <c r="CD40" s="2"/>
      <c r="CE40" s="2"/>
      <c r="CF40" s="2"/>
    </row>
    <row r="41" spans="1:190" s="16" customFormat="1" ht="14.25" hidden="1" customHeight="1" thickTop="1" thickBot="1" x14ac:dyDescent="0.35">
      <c r="C41" s="92"/>
      <c r="D41" s="285"/>
      <c r="E41" s="285"/>
      <c r="F41" s="286"/>
      <c r="G41" s="287"/>
      <c r="H41" s="287"/>
      <c r="I41" s="288"/>
      <c r="J41" s="288"/>
      <c r="K41" s="288"/>
      <c r="L41" s="288"/>
      <c r="M41" s="289"/>
      <c r="N41" s="290"/>
      <c r="O41" s="97"/>
      <c r="P41" s="97"/>
      <c r="Q41" s="291"/>
      <c r="R41" s="292"/>
      <c r="S41" s="110"/>
      <c r="T41" s="110"/>
      <c r="U41" s="110"/>
      <c r="V41" s="97"/>
      <c r="W41" s="97"/>
      <c r="X41" s="97"/>
      <c r="Y41" s="97"/>
      <c r="Z41" s="97"/>
      <c r="AA41" s="293"/>
      <c r="AB41" s="294"/>
      <c r="AC41" s="295"/>
      <c r="AD41" s="295"/>
      <c r="AE41" s="295"/>
      <c r="AF41" s="294"/>
      <c r="AG41" s="296"/>
      <c r="AH41" s="100"/>
      <c r="AI41" s="100"/>
      <c r="AJ41" s="295"/>
      <c r="AK41" s="295"/>
      <c r="AL41" s="297"/>
      <c r="AM41" s="100"/>
      <c r="AN41" s="100"/>
      <c r="AO41" s="17"/>
      <c r="AP41" s="264"/>
      <c r="AQ41" s="264"/>
      <c r="AR41" s="264"/>
      <c r="BT41" s="258"/>
      <c r="BW41" s="243" t="str">
        <f>IF(AND(BW$44=$BV$44,BW$47&lt;&gt;""),BW$47,IF(AND(BW$44=$BV$44,BW$48&lt;&gt;""),BW$48,IF(AND(BW$44=$BV$44,BW$49&lt;&gt;""),BW$49,IF(AND(BW$44=$BV$44,BW$50&lt;&gt;""),BW$50,IF(AND(BW$44=$BV$44,BW$51&lt;&gt;""),BW$51,IF(AND(BW$44=$BV$44,BW$52&lt;&gt;""),BW$52,IF(AND(BW$44=$BV$44,BW$53&lt;&gt;""),BW$53,"")))))))</f>
        <v/>
      </c>
      <c r="BX41" s="243" t="str">
        <f t="shared" ref="BX41:CF41" si="101">IF(AND(BX$44=$BV$44,BX$47&lt;&gt;""),BX$47,IF(AND(BX$44=$BV$44,BX$48&lt;&gt;""),BX$48,IF(AND(BX$44=$BV$44,BX$49&lt;&gt;""),BX$49,IF(AND(BX$44=$BV$44,BX$50&lt;&gt;""),BX$50,IF(AND(BX$44=$BV$44,BX$51&lt;&gt;""),BX$51,IF(AND(BX$44=$BV$44,BX$52&lt;&gt;""),BX$52,IF(AND(BX$44=$BV$44,BX$53&lt;&gt;""),BX$53,"")))))))</f>
        <v/>
      </c>
      <c r="BY41" s="243" t="str">
        <f t="shared" si="101"/>
        <v/>
      </c>
      <c r="BZ41" s="243" t="str">
        <f t="shared" si="101"/>
        <v/>
      </c>
      <c r="CA41" s="243" t="str">
        <f t="shared" si="101"/>
        <v/>
      </c>
      <c r="CB41" s="243" t="str">
        <f t="shared" si="101"/>
        <v/>
      </c>
      <c r="CC41" s="243" t="str">
        <f t="shared" si="101"/>
        <v/>
      </c>
      <c r="CD41" s="243" t="str">
        <f t="shared" si="101"/>
        <v/>
      </c>
      <c r="CE41" s="243" t="str">
        <f t="shared" si="101"/>
        <v/>
      </c>
      <c r="CF41" s="243" t="str">
        <f t="shared" si="101"/>
        <v/>
      </c>
    </row>
    <row r="42" spans="1:190" s="16" customFormat="1" ht="14.25" hidden="1" customHeight="1" thickTop="1" thickBot="1" x14ac:dyDescent="0.35">
      <c r="C42" s="92"/>
      <c r="D42" s="285"/>
      <c r="E42" s="285"/>
      <c r="F42" s="286"/>
      <c r="G42" s="287"/>
      <c r="H42" s="287"/>
      <c r="I42" s="288"/>
      <c r="J42" s="288"/>
      <c r="K42" s="288"/>
      <c r="L42" s="288"/>
      <c r="M42" s="289"/>
      <c r="N42" s="290"/>
      <c r="O42" s="97"/>
      <c r="P42" s="97"/>
      <c r="Q42" s="291"/>
      <c r="R42" s="292"/>
      <c r="S42" s="110"/>
      <c r="T42" s="110"/>
      <c r="U42" s="110"/>
      <c r="V42" s="97"/>
      <c r="W42" s="97"/>
      <c r="X42" s="97"/>
      <c r="Y42" s="97"/>
      <c r="Z42" s="97"/>
      <c r="AA42" s="293"/>
      <c r="AB42" s="294"/>
      <c r="AC42" s="295"/>
      <c r="AD42" s="295"/>
      <c r="AE42" s="295"/>
      <c r="AF42" s="294"/>
      <c r="AG42" s="296"/>
      <c r="AH42" s="100"/>
      <c r="AI42" s="100"/>
      <c r="AJ42" s="295"/>
      <c r="AK42" s="295"/>
      <c r="AL42" s="297"/>
      <c r="AM42" s="100"/>
      <c r="AN42" s="100"/>
      <c r="AO42" s="17"/>
      <c r="AP42" s="264"/>
      <c r="AQ42" s="264"/>
      <c r="AR42" s="264"/>
      <c r="BT42" s="259"/>
      <c r="BW42" s="243" t="str">
        <f>IF(AND(BW$44=$BV$44,BW$54&lt;&gt;""),BW$54,IF(AND(BW$44=$BV$44,BW$55&lt;&gt;""),BW$55,IF(AND(BW$44=$BV$44,BW$56&lt;&gt;""),BW$56,"")))</f>
        <v/>
      </c>
      <c r="BX42" s="243" t="str">
        <f t="shared" ref="BX42:CF42" si="102">IF(AND(BX$44=$BV$44,BX$54&lt;&gt;""),BX$54,IF(AND(BX$44=$BV$44,BX$55&lt;&gt;""),BX$55,IF(AND(BX$44=$BV$44,BX$56&lt;&gt;""),BX$56,"")))</f>
        <v/>
      </c>
      <c r="BY42" s="243" t="str">
        <f t="shared" si="102"/>
        <v/>
      </c>
      <c r="BZ42" s="243" t="str">
        <f t="shared" si="102"/>
        <v/>
      </c>
      <c r="CA42" s="243" t="str">
        <f t="shared" si="102"/>
        <v/>
      </c>
      <c r="CB42" s="243" t="str">
        <f t="shared" si="102"/>
        <v/>
      </c>
      <c r="CC42" s="243" t="str">
        <f t="shared" si="102"/>
        <v/>
      </c>
      <c r="CD42" s="243" t="str">
        <f t="shared" si="102"/>
        <v/>
      </c>
      <c r="CE42" s="243" t="str">
        <f t="shared" si="102"/>
        <v/>
      </c>
      <c r="CF42" s="243" t="str">
        <f t="shared" si="102"/>
        <v/>
      </c>
    </row>
    <row r="43" spans="1:190" s="16" customFormat="1" ht="14.25" hidden="1" customHeight="1" thickTop="1" thickBot="1" x14ac:dyDescent="0.35">
      <c r="C43" s="92"/>
      <c r="D43" s="285"/>
      <c r="E43" s="285"/>
      <c r="F43" s="286"/>
      <c r="G43" s="287"/>
      <c r="H43" s="287"/>
      <c r="I43" s="288"/>
      <c r="J43" s="288"/>
      <c r="K43" s="288"/>
      <c r="L43" s="288"/>
      <c r="M43" s="289"/>
      <c r="N43" s="290"/>
      <c r="O43" s="97"/>
      <c r="P43" s="97"/>
      <c r="Q43" s="291"/>
      <c r="R43" s="292"/>
      <c r="S43" s="110"/>
      <c r="T43" s="110"/>
      <c r="U43" s="110"/>
      <c r="V43" s="97"/>
      <c r="W43" s="97"/>
      <c r="X43" s="97"/>
      <c r="Y43" s="97"/>
      <c r="Z43" s="97"/>
      <c r="AA43" s="293"/>
      <c r="AB43" s="294"/>
      <c r="AC43" s="295"/>
      <c r="AD43" s="295"/>
      <c r="AE43" s="295"/>
      <c r="AF43" s="316"/>
      <c r="AG43" s="296"/>
      <c r="AH43" s="309"/>
      <c r="AI43" s="309"/>
      <c r="AJ43" s="295"/>
      <c r="AK43" s="295"/>
      <c r="AL43" s="297"/>
      <c r="AM43" s="100"/>
      <c r="AN43" s="100"/>
      <c r="AO43" s="17"/>
      <c r="AP43" s="264"/>
      <c r="AQ43" s="264"/>
      <c r="AR43" s="264"/>
      <c r="AY43" s="248" t="e">
        <f>IF(AND(#REF!="x",#REF!=0,#REF!=0),$N$10,IF(AND(#REF!="x",#REF!=0,#REF!=0),#REF!,IF(AND(#REF!="x",#REF!=0,#REF!=0),#REF!,"")))</f>
        <v>#REF!</v>
      </c>
      <c r="AZ43" s="249" t="s">
        <v>241</v>
      </c>
      <c r="BA43" s="250"/>
      <c r="BT43" s="260"/>
      <c r="BW43" s="243"/>
      <c r="BX43" s="243"/>
      <c r="BY43" s="243"/>
      <c r="BZ43" s="243"/>
      <c r="CA43" s="243"/>
      <c r="CB43" s="243"/>
      <c r="CC43" s="243"/>
      <c r="CD43" s="243"/>
      <c r="CE43" s="243"/>
      <c r="CF43" s="243"/>
    </row>
    <row r="44" spans="1:190" s="16" customFormat="1" ht="7.5" customHeight="1" thickTop="1" thickBot="1" x14ac:dyDescent="0.35">
      <c r="C44" s="385"/>
      <c r="D44" s="386"/>
      <c r="E44" s="386"/>
      <c r="F44" s="387"/>
      <c r="G44" s="388"/>
      <c r="H44" s="388"/>
      <c r="I44" s="264"/>
      <c r="J44" s="264"/>
      <c r="K44" s="264"/>
      <c r="L44" s="264"/>
      <c r="M44" s="389"/>
      <c r="N44" s="390"/>
      <c r="O44" s="391"/>
      <c r="P44" s="391"/>
      <c r="Q44" s="392"/>
      <c r="R44" s="393"/>
      <c r="S44" s="329"/>
      <c r="T44" s="329"/>
      <c r="U44" s="329"/>
      <c r="V44" s="391"/>
      <c r="W44" s="391"/>
      <c r="X44" s="391"/>
      <c r="Y44" s="391"/>
      <c r="Z44" s="391"/>
      <c r="AA44" s="394"/>
      <c r="AB44" s="316"/>
      <c r="AC44" s="313"/>
      <c r="AD44" s="313"/>
      <c r="AE44" s="313"/>
      <c r="AF44" s="313"/>
      <c r="AG44" s="395"/>
      <c r="AH44" s="314"/>
      <c r="AI44" s="314"/>
      <c r="AJ44" s="313"/>
      <c r="AK44" s="313"/>
      <c r="AL44" s="396"/>
      <c r="AM44" s="309"/>
      <c r="AN44" s="309"/>
      <c r="AO44" s="17"/>
      <c r="AP44" s="264"/>
      <c r="AQ44" s="264"/>
      <c r="AR44" s="264"/>
      <c r="BT44" s="252"/>
      <c r="BU44" s="253" t="s">
        <v>242</v>
      </c>
      <c r="BV44" s="251">
        <f>MIN(BW44:CF44)</f>
        <v>0</v>
      </c>
      <c r="BW44" s="242" t="str">
        <f t="shared" ref="BW44:CF44" si="103">IF(10-COUNTBLANK(BW47:BW56)=0,"",10-COUNTBLANK(BW47:BW56))</f>
        <v/>
      </c>
      <c r="BX44" s="242" t="str">
        <f t="shared" si="103"/>
        <v/>
      </c>
      <c r="BY44" s="242" t="str">
        <f t="shared" si="103"/>
        <v/>
      </c>
      <c r="BZ44" s="242" t="str">
        <f t="shared" si="103"/>
        <v/>
      </c>
      <c r="CA44" s="242" t="str">
        <f t="shared" si="103"/>
        <v/>
      </c>
      <c r="CB44" s="242" t="str">
        <f t="shared" si="103"/>
        <v/>
      </c>
      <c r="CC44" s="242" t="str">
        <f t="shared" si="103"/>
        <v/>
      </c>
      <c r="CD44" s="242" t="str">
        <f t="shared" si="103"/>
        <v/>
      </c>
      <c r="CE44" s="242" t="str">
        <f t="shared" si="103"/>
        <v/>
      </c>
      <c r="CF44" s="242" t="str">
        <f t="shared" si="103"/>
        <v/>
      </c>
    </row>
    <row r="45" spans="1:190" s="16" customFormat="1" ht="18" customHeight="1" thickTop="1" thickBot="1" x14ac:dyDescent="0.35">
      <c r="B45" s="1018"/>
      <c r="C45" s="1019"/>
      <c r="D45" s="1200" t="str">
        <f>D21</f>
        <v>0.2</v>
      </c>
      <c r="E45" s="1200"/>
      <c r="F45" s="1019"/>
      <c r="G45" s="1200" t="str">
        <f>G21</f>
        <v>2.4 ou 2.5 ou 2.6</v>
      </c>
      <c r="H45" s="1201"/>
      <c r="I45" s="1020"/>
      <c r="J45" s="1020"/>
      <c r="K45" s="1020"/>
      <c r="L45" s="1020"/>
      <c r="M45" s="1019" t="str">
        <f>M21</f>
        <v>3.1</v>
      </c>
      <c r="N45" s="1019" t="str">
        <f>N21</f>
        <v>3.2</v>
      </c>
      <c r="O45" s="1019" t="str">
        <f>O21</f>
        <v>3.4</v>
      </c>
      <c r="P45" s="1019" t="str">
        <f>P21</f>
        <v>3.5</v>
      </c>
      <c r="Q45" s="1019" t="str">
        <f>Q21</f>
        <v>2.3</v>
      </c>
      <c r="R45" s="1019"/>
      <c r="S45" s="1021" t="s">
        <v>116</v>
      </c>
      <c r="T45" s="1019"/>
      <c r="U45" s="1019"/>
      <c r="V45" s="1019" t="str">
        <f>V21</f>
        <v>6.2</v>
      </c>
      <c r="W45" s="1019"/>
      <c r="X45" s="1019"/>
      <c r="Y45" s="1200" t="str">
        <f>Y21</f>
        <v>Quadro 3 ou EN 10255</v>
      </c>
      <c r="Z45" s="1200"/>
      <c r="AA45" s="1200"/>
      <c r="AB45" s="1019" t="str">
        <f t="shared" ref="AB45:AH45" si="104">AB21</f>
        <v>8.4</v>
      </c>
      <c r="AC45" s="1019" t="str">
        <f t="shared" si="104"/>
        <v>8.5</v>
      </c>
      <c r="AD45" s="1019" t="str">
        <f t="shared" si="104"/>
        <v>8.3</v>
      </c>
      <c r="AE45" s="1019" t="str">
        <f t="shared" si="104"/>
        <v>9.8</v>
      </c>
      <c r="AF45" s="1019" t="str">
        <f t="shared" si="104"/>
        <v>9.1</v>
      </c>
      <c r="AG45" s="1019" t="str">
        <f t="shared" si="104"/>
        <v>9.6</v>
      </c>
      <c r="AH45" s="1200" t="str">
        <f t="shared" si="104"/>
        <v>9.7</v>
      </c>
      <c r="AI45" s="1202"/>
      <c r="AJ45" s="1019"/>
      <c r="AK45" s="1019"/>
      <c r="AL45" s="1019" t="str">
        <f>AL21</f>
        <v>10.1</v>
      </c>
      <c r="AM45" s="1200" t="str">
        <f>AM21</f>
        <v>10.3</v>
      </c>
      <c r="AN45" s="1209"/>
      <c r="AO45" s="17"/>
      <c r="AP45" s="264"/>
      <c r="AQ45" s="264"/>
      <c r="AR45" s="264"/>
      <c r="AY45" s="231" t="s">
        <v>239</v>
      </c>
      <c r="AZ45" s="246"/>
      <c r="BA45" s="246"/>
      <c r="BB45" s="247"/>
      <c r="BW45" s="231" t="s">
        <v>237</v>
      </c>
      <c r="BX45" s="232"/>
      <c r="BY45" s="232"/>
      <c r="BZ45" s="232"/>
      <c r="CA45" s="232"/>
      <c r="CB45" s="232"/>
      <c r="CC45" s="232"/>
      <c r="CD45" s="232"/>
      <c r="CE45" s="232"/>
      <c r="CF45" s="232"/>
      <c r="CV45" s="201" t="s">
        <v>227</v>
      </c>
      <c r="CW45" s="202"/>
      <c r="CX45" s="203"/>
      <c r="CY45" s="117" t="s">
        <v>138</v>
      </c>
      <c r="CZ45" s="118" t="s">
        <v>136</v>
      </c>
      <c r="DA45" s="119" t="s">
        <v>135</v>
      </c>
      <c r="DB45" s="118" t="s">
        <v>134</v>
      </c>
      <c r="DC45" s="114"/>
      <c r="DD45" s="114"/>
      <c r="DE45" s="114"/>
      <c r="DF45" s="120" t="s">
        <v>135</v>
      </c>
      <c r="DG45" s="121"/>
      <c r="DH45" s="114"/>
      <c r="DI45" s="79"/>
      <c r="DJ45" s="119" t="s">
        <v>134</v>
      </c>
      <c r="DK45" s="114"/>
      <c r="DL45" s="114"/>
      <c r="DM45" s="114"/>
      <c r="DN45" s="120" t="s">
        <v>135</v>
      </c>
      <c r="DO45" s="121"/>
      <c r="DP45" s="114"/>
      <c r="DQ45" s="79"/>
      <c r="DR45" s="119" t="s">
        <v>134</v>
      </c>
      <c r="DS45" s="114"/>
      <c r="DT45" s="114"/>
      <c r="DU45" s="114"/>
      <c r="DV45" s="120" t="s">
        <v>135</v>
      </c>
      <c r="DW45" s="121"/>
      <c r="DX45" s="114"/>
      <c r="DY45" s="79"/>
      <c r="DZ45" s="119" t="s">
        <v>134</v>
      </c>
      <c r="EA45" s="114"/>
      <c r="EB45" s="114"/>
      <c r="EC45" s="114"/>
      <c r="ED45" s="120" t="s">
        <v>135</v>
      </c>
      <c r="EE45" s="121"/>
      <c r="EF45" s="114"/>
      <c r="EG45" s="79"/>
      <c r="EH45" s="119" t="s">
        <v>134</v>
      </c>
      <c r="EI45" s="114"/>
      <c r="EJ45" s="114"/>
      <c r="EK45" s="114"/>
      <c r="EL45" s="120" t="s">
        <v>135</v>
      </c>
      <c r="EM45" s="121"/>
      <c r="EN45" s="114"/>
      <c r="EO45" s="79"/>
      <c r="EP45" s="119" t="s">
        <v>134</v>
      </c>
      <c r="EQ45" s="114"/>
      <c r="ER45" s="114"/>
      <c r="ES45" s="114"/>
      <c r="ET45" s="120" t="s">
        <v>135</v>
      </c>
      <c r="EU45" s="121"/>
      <c r="EV45" s="114"/>
      <c r="EW45" s="79"/>
      <c r="EX45" s="119" t="s">
        <v>134</v>
      </c>
      <c r="EY45" s="114"/>
      <c r="EZ45" s="114"/>
      <c r="FA45" s="114"/>
      <c r="FB45" s="120" t="s">
        <v>135</v>
      </c>
      <c r="FC45" s="121"/>
      <c r="FD45" s="114"/>
      <c r="FE45" s="79"/>
      <c r="FF45" s="119" t="s">
        <v>134</v>
      </c>
      <c r="FG45" s="114"/>
      <c r="FH45" s="114"/>
      <c r="FI45" s="114"/>
      <c r="FJ45" s="120" t="s">
        <v>135</v>
      </c>
      <c r="FK45" s="121"/>
      <c r="FL45" s="114"/>
      <c r="FM45" s="79"/>
      <c r="FN45" s="119" t="s">
        <v>134</v>
      </c>
      <c r="FO45" s="114"/>
      <c r="FP45" s="114"/>
      <c r="FQ45" s="114"/>
      <c r="FR45" s="120" t="s">
        <v>135</v>
      </c>
      <c r="FS45" s="121"/>
      <c r="FT45" s="114"/>
      <c r="FU45" s="79"/>
      <c r="FV45" s="119" t="s">
        <v>134</v>
      </c>
      <c r="FW45" s="114"/>
      <c r="FX45" s="114"/>
      <c r="FY45" s="114"/>
      <c r="FZ45" s="120" t="s">
        <v>135</v>
      </c>
      <c r="GA45" s="121"/>
      <c r="GB45" s="114"/>
      <c r="GC45" s="79"/>
      <c r="GD45" s="119" t="s">
        <v>134</v>
      </c>
      <c r="GE45" s="114"/>
      <c r="GF45" s="114"/>
      <c r="GG45" s="114"/>
      <c r="GH45" s="120" t="s">
        <v>135</v>
      </c>
    </row>
    <row r="46" spans="1:190" s="16" customFormat="1" ht="4.5" customHeight="1" thickTop="1" thickBot="1" x14ac:dyDescent="0.35">
      <c r="A46" s="902">
        <f>SUM(A47:A56)</f>
        <v>0</v>
      </c>
      <c r="C46" s="92"/>
      <c r="D46" s="397"/>
      <c r="E46" s="397"/>
      <c r="F46" s="398"/>
      <c r="G46" s="399"/>
      <c r="H46" s="896"/>
      <c r="I46" s="102"/>
      <c r="J46" s="102"/>
      <c r="K46" s="102"/>
      <c r="L46" s="102"/>
      <c r="M46" s="300"/>
      <c r="N46" s="301"/>
      <c r="O46" s="301"/>
      <c r="P46" s="96"/>
      <c r="Q46" s="103"/>
      <c r="R46" s="107"/>
      <c r="S46" s="95"/>
      <c r="T46" s="400"/>
      <c r="U46" s="110"/>
      <c r="V46" s="96"/>
      <c r="W46" s="96"/>
      <c r="X46" s="96"/>
      <c r="Y46" s="96"/>
      <c r="Z46" s="97"/>
      <c r="AA46" s="98"/>
      <c r="AB46" s="401"/>
      <c r="AC46" s="266"/>
      <c r="AD46" s="267"/>
      <c r="AE46" s="295"/>
      <c r="AF46" s="401"/>
      <c r="AG46" s="108"/>
      <c r="AH46" s="1207" t="str">
        <f>IF(AG46="","",IF(AG46&lt;$N$11,"Conforme","Redimensionar"))</f>
        <v/>
      </c>
      <c r="AI46" s="1208"/>
      <c r="AJ46" s="268"/>
      <c r="AK46" s="267"/>
      <c r="AL46" s="402"/>
      <c r="AM46" s="1207" t="str">
        <f>IF(AL46="","",IF(AL46&lt;$N$12,"Conforme","Redimensionar"))</f>
        <v/>
      </c>
      <c r="AN46" s="1208"/>
      <c r="AO46" s="17"/>
      <c r="AP46" s="264"/>
      <c r="AQ46" s="264"/>
      <c r="AR46" s="264"/>
      <c r="AY46" s="236" t="s">
        <v>51</v>
      </c>
      <c r="AZ46" s="240" t="s">
        <v>238</v>
      </c>
      <c r="BA46" s="238"/>
      <c r="BB46" s="239"/>
      <c r="BI46" s="915" t="str">
        <f>IF(MAX(BI47:BI56)&gt;0,MAX(BI47:BI56),"")</f>
        <v/>
      </c>
      <c r="BM46" s="237" t="s">
        <v>500</v>
      </c>
      <c r="BW46" s="234">
        <v>1</v>
      </c>
      <c r="BX46" s="234">
        <v>2</v>
      </c>
      <c r="BY46" s="234">
        <v>3</v>
      </c>
      <c r="BZ46" s="234">
        <v>4</v>
      </c>
      <c r="CA46" s="234">
        <v>5</v>
      </c>
      <c r="CB46" s="234">
        <v>6</v>
      </c>
      <c r="CC46" s="234">
        <v>7</v>
      </c>
      <c r="CD46" s="234">
        <v>8</v>
      </c>
      <c r="CE46" s="234">
        <v>9</v>
      </c>
      <c r="CF46" s="234">
        <v>10</v>
      </c>
      <c r="CQ46" s="153" t="s">
        <v>488</v>
      </c>
      <c r="CV46" s="204" t="s">
        <v>228</v>
      </c>
      <c r="CW46" s="205"/>
      <c r="CX46" s="206">
        <f>MAX(CX47:CX56)</f>
        <v>0</v>
      </c>
      <c r="CY46" s="37"/>
      <c r="CZ46" s="24"/>
      <c r="DA46" s="88" t="s">
        <v>137</v>
      </c>
      <c r="DB46" s="89"/>
      <c r="DC46" s="24"/>
      <c r="DD46" s="24"/>
      <c r="DE46" s="24"/>
      <c r="DF46" s="88" t="s">
        <v>137</v>
      </c>
      <c r="DG46" s="40"/>
      <c r="DH46" s="24"/>
      <c r="DI46" s="24"/>
      <c r="DJ46" s="24"/>
      <c r="DK46" s="24"/>
      <c r="DL46" s="24"/>
      <c r="DM46" s="24"/>
      <c r="DN46" s="90" t="s">
        <v>137</v>
      </c>
      <c r="DO46" s="40"/>
      <c r="DP46" s="24"/>
      <c r="DQ46" s="24"/>
      <c r="DR46" s="24"/>
      <c r="DS46" s="24"/>
      <c r="DT46" s="24"/>
      <c r="DU46" s="24"/>
      <c r="DV46" s="90" t="s">
        <v>137</v>
      </c>
      <c r="DW46" s="40"/>
      <c r="DX46" s="24"/>
      <c r="DY46" s="24"/>
      <c r="DZ46" s="24"/>
      <c r="EA46" s="24"/>
      <c r="EB46" s="24"/>
      <c r="EC46" s="24"/>
      <c r="ED46" s="90" t="s">
        <v>137</v>
      </c>
      <c r="EE46" s="40"/>
      <c r="EF46" s="24"/>
      <c r="EG46" s="24"/>
      <c r="EH46" s="24"/>
      <c r="EI46" s="24"/>
      <c r="EJ46" s="24"/>
      <c r="EK46" s="24"/>
      <c r="EL46" s="90" t="s">
        <v>137</v>
      </c>
      <c r="EM46" s="40"/>
      <c r="EN46" s="24"/>
      <c r="EO46" s="24"/>
      <c r="EP46" s="24"/>
      <c r="EQ46" s="24"/>
      <c r="ER46" s="24"/>
      <c r="ES46" s="24"/>
      <c r="ET46" s="90" t="s">
        <v>137</v>
      </c>
      <c r="EU46" s="40"/>
      <c r="EV46" s="24"/>
      <c r="EW46" s="24"/>
      <c r="EX46" s="24"/>
      <c r="EY46" s="24"/>
      <c r="EZ46" s="24"/>
      <c r="FA46" s="24"/>
      <c r="FB46" s="90" t="s">
        <v>137</v>
      </c>
      <c r="FC46" s="40"/>
      <c r="FD46" s="24"/>
      <c r="FE46" s="24"/>
      <c r="FF46" s="24"/>
      <c r="FG46" s="24"/>
      <c r="FH46" s="24"/>
      <c r="FI46" s="24"/>
      <c r="FJ46" s="90" t="s">
        <v>137</v>
      </c>
      <c r="FK46" s="40"/>
      <c r="FL46" s="24"/>
      <c r="FM46" s="24"/>
      <c r="FN46" s="24"/>
      <c r="FO46" s="24"/>
      <c r="FP46" s="24"/>
      <c r="FQ46" s="24"/>
      <c r="FR46" s="90" t="s">
        <v>137</v>
      </c>
      <c r="FS46" s="40"/>
      <c r="FT46" s="24"/>
      <c r="FU46" s="24"/>
      <c r="FV46" s="24"/>
      <c r="FW46" s="24"/>
      <c r="FX46" s="24"/>
      <c r="FY46" s="24"/>
      <c r="FZ46" s="90" t="s">
        <v>137</v>
      </c>
      <c r="GA46" s="40"/>
      <c r="GB46" s="24"/>
      <c r="GC46" s="24"/>
      <c r="GD46" s="24"/>
      <c r="GE46" s="24"/>
      <c r="GF46" s="24"/>
      <c r="GG46" s="24"/>
      <c r="GH46" s="90" t="s">
        <v>137</v>
      </c>
    </row>
    <row r="47" spans="1:190" s="16" customFormat="1" ht="18" customHeight="1" thickTop="1" thickBot="1" x14ac:dyDescent="0.35">
      <c r="A47" s="902" t="str">
        <f>IF(OR(N47="",ABS(N47)&lt;=M47),"",1)</f>
        <v/>
      </c>
      <c r="B47" s="826" t="str">
        <f>IF(OR(D47="",E47=""),"",1)</f>
        <v/>
      </c>
      <c r="C47" s="843" t="str">
        <f>IF(B47="","",SUM(B$47:B47))</f>
        <v/>
      </c>
      <c r="D47" s="958"/>
      <c r="E47" s="959"/>
      <c r="F47" s="967"/>
      <c r="G47" s="961"/>
      <c r="H47" s="961"/>
      <c r="I47" s="964" t="str">
        <f t="shared" ref="I47:I56" si="105">IF($G47="","",IF(AND(OR($F47="",$F47=1),OR($G47="A1",$G47="A2",$G47="A3",$G47="A4",$G47="A5")),LOOKUP($G47,$AO$6:$AO$15,$AP$6:$AP$15),IF(AND($F47=2,OR($G47="A6",$G47="A7",$G47="A8",$G47="A9",$G47="A10")),LOOKUP($G47,$AO$6:$AO$15,$AP$6:$AP$15),"Erro")))</f>
        <v/>
      </c>
      <c r="J47" s="964" t="str">
        <f t="shared" ref="J47:J56" si="106">IF($H47="","",IF(AND(OR($F47="",$F47=1),OR($H47="A1",$H47="A2",$H47="A3",$H47="A4",$H47="A5")),LOOKUP($H47,$AO$6:$AO$15,$AP$6:$AP$15),IF(AND($F47=2,OR($H47="A6",$H47="A7",$H47="A8",$H47="A9",$H47="A10")),LOOKUP($H47,$AO$6:$AO$15,$AP$6:$AP$15),"Erro")))</f>
        <v/>
      </c>
      <c r="K47" s="965">
        <f t="shared" ref="K47:K56" si="107">IF($I47="",0,IF(AND($F47=2,OR(G47=AF$9,G47=AF$10,G47=AF$11,G47=AF$12,G47=AF$13),$I47&gt;5,$I47&lt;11,$I47&lt;=(MAX($AE$9:$AE$13)+5)),LOOKUP(($I47-5),$AE$9:$AE$13,$AN$9:$AN$13),IF(AND(OR($F47=1,$F47=""),OR(G47=V$9,G47=V$10,G47=V$11,G47=V$12,G47=V$13),$I47&gt;0,$I47&lt;6,$I47&lt;=MAX($T$9:$T$13)),LOOKUP($I47,$T$9:$T$13,$AD$9:$AD$13),"Erro")))</f>
        <v>0</v>
      </c>
      <c r="L47" s="966">
        <f t="shared" ref="L47:L56" si="108">IF($J47="",0,IF(AND($F47=2,OR(H47=AF$9,H47=AF$10,H47=AF$11,H47=AF$12,H47=AF$13),$J47&gt;5,$J47&lt;11,$J47&lt;=(MAX($AE$9:$AE$13)+5)),LOOKUP(($J47-5),$AE$9:$AE$13,$AN$9:$AN$13),IF(AND(OR($F47=1,$F47=""),OR(H47=V$9,H47=V$10,H47=V$11,H47=V$12,H47=V$13),$J47&gt;0,$J47&lt;6,$J47&lt;=MAX($T$9:$T$13)),LOOKUP($J47,$T$9:$T$13,$AD$9:$AD$13),"Erro")))</f>
        <v>0</v>
      </c>
      <c r="M47" s="955"/>
      <c r="N47" s="956"/>
      <c r="O47" s="925"/>
      <c r="P47" s="927" t="str">
        <f>IF(M47="","",IF(O47="",ABS(M47)*(1+'Cálculo-Instalação Colectiva-MP'!$L$13),ABS(M47)+O47))</f>
        <v/>
      </c>
      <c r="Q47" s="928" t="str">
        <f t="shared" ref="Q47:Q56" si="109">IF(OR($D47="",$K47="Erro",$L47="Erro",AND($F47=2,$AN$15="")),"",IF(AND($F47=2,$I47="",$J47=""),$AN$15,IF(AND(OR($F47="",$F47=1),$I47="",$J47=""),$AD$15,IF(OR($K47="",$L47=""),"",$K47+$L47))))</f>
        <v/>
      </c>
      <c r="R47" s="935" t="str">
        <f t="shared" ref="R47:R56" si="110">IF(OR(Q47="",Q47=0),"","Aço")</f>
        <v/>
      </c>
      <c r="S47" s="111" t="str">
        <f t="shared" ref="S47:S56" si="111">IF(OR(Q47="",Q47=0,$P$60=""),"",ROUND((($AY$13*$AY$10*Q47^1.82)/($P$60/$AY$12))^(1/4.82),1))</f>
        <v/>
      </c>
      <c r="T47" s="926"/>
      <c r="U47" s="610" t="str">
        <f>IF(S47="","",IF(T47&lt;&gt;"",T47,S47))</f>
        <v/>
      </c>
      <c r="V47" s="936" t="str">
        <f>IF(OR(S47="",S47=0),"",IF($U47&gt;'Quadro 3'!$F$23,'Quadro 3'!$F$23,IF($U47&lt;'Quadro 3'!$F$10,'Quadro 3'!$F$10,MIN($W47,$X47))))</f>
        <v/>
      </c>
      <c r="W47" s="937" t="str">
        <f>IF(AND(AW47&lt;&gt;2,$U47&lt;='Quadro 3'!$F$10),'Quadro 3'!$F$10,IF($U47&lt;='Quadro 3'!$F$11,'Quadro 3'!$F$11,IF($U47&lt;='Quadro 3'!$F$12,'Quadro 3'!$F$12,IF($U47&lt;='Quadro 3'!$F$13,'Quadro 3'!$F$13,IF($U47&lt;='Quadro 3'!$F$14,'Quadro 3'!$F$14,IF($U47&lt;='Quadro 3'!$F$15,'Quadro 3'!$F$15,IF($U47&lt;='Quadro 3'!$F$16,'Quadro 3'!$F$16,"")))))))</f>
        <v/>
      </c>
      <c r="X47" s="938" t="str">
        <f>IF(OR(S47="",S47=0),"",IF($U47&lt;='Quadro 3'!$F$17,'Quadro 3'!$F$17,IF($U47&lt;='Quadro 3'!$F$18,'Quadro 3'!$F$18,IF($U47&lt;='Quadro 3'!$F$19,'Quadro 3'!$F$19,IF($U47&lt;='Quadro 3'!$F$20,'Quadro 3'!$F$20,IF($U47&lt;='Quadro 3'!$F$21,'Quadro 3'!$F$21,IF($U47&lt;='Quadro 3'!$F$22,'Quadro 3'!$F$22,IF($U47&lt;='Quadro 3'!$F$23,'Quadro 3'!$F$23,'Quadro 3'!$F$23))))))))</f>
        <v/>
      </c>
      <c r="Y47" s="936" t="str">
        <f>IF($V47="","",LOOKUP($V47,'Quadro 3'!$F$9:$F$23,'Quadro 3'!$G$9:$G$23))</f>
        <v/>
      </c>
      <c r="Z47" s="1129" t="str">
        <f>IF($V47="","",LOOKUP($V47,'Quadro 3'!$F$9:$F$23,'Quadro 3'!$D$9:$D$23))</f>
        <v/>
      </c>
      <c r="AA47" s="939" t="str">
        <f>IF($V47="","",LOOKUP($V47,'Quadro 3'!$F$9:$F$23,'Quadro 3'!$E$9:$E$23))</f>
        <v/>
      </c>
      <c r="AB47" s="929" t="str">
        <f t="shared" ref="AB47:AB56" si="112">IF(OR(D47="",E47="",$P$60=""),"",IF($D47=$BW$37,$AY$11,IF($AZ47&lt;&gt;"",$AZ47,IF($BA47&lt;&gt;"",$BA47,IF($BB47&lt;&gt;"",$BB47,"")))))</f>
        <v/>
      </c>
      <c r="AC47" s="930" t="str">
        <f>IF(OR($D47="",$P47="",$V47="",AB47="",AB47=0),"",(AB47/$AY$12-$AY$13*ABS($P47)*$AY$10*($Q47^1.82/$V47^4.82))*$AY$12)</f>
        <v/>
      </c>
      <c r="AD47" s="942" t="str">
        <f>IF(AC47="","",(AC47/$AY$12+($AY$20*(1-$AY$9)*$N47))*$AY$12)</f>
        <v/>
      </c>
      <c r="AE47" s="1124" t="str">
        <f>IF(AD47="","",(AB47+AD47)/2)</f>
        <v/>
      </c>
      <c r="AF47" s="931" t="str">
        <f t="shared" ref="AF47:AF54" si="113">IF(AD47="","",(AB47-AD47))</f>
        <v/>
      </c>
      <c r="AG47" s="943" t="str">
        <f>IF(AD47="","",($AY$11-AD47))</f>
        <v/>
      </c>
      <c r="AH47" s="1153" t="str">
        <f t="shared" ref="AH47:AH56" si="114">IF(AG47="","",IF(ROUND(AG47,1)&lt;=$N$11,"Conforme","Redimensionar"))</f>
        <v/>
      </c>
      <c r="AI47" s="1154"/>
      <c r="AJ47" s="940"/>
      <c r="AK47" s="942"/>
      <c r="AL47" s="933" t="str">
        <f>IF(AE47="","",(354*Q47*$N$14)/(V47^2*(AE47+$N$14)))</f>
        <v/>
      </c>
      <c r="AM47" s="1153" t="str">
        <f t="shared" ref="AM47:AM56" si="115">IF(AL47="","",IF(ROUND(AL47,1)&lt;=$N$12,"Conforme","Redimensionar"))</f>
        <v/>
      </c>
      <c r="AN47" s="1154"/>
      <c r="AO47" s="17"/>
      <c r="AP47" s="909" t="str">
        <f>IF(AW47="","",IF(AND(AW47=2,V47&lt;21.7),4,""))</f>
        <v/>
      </c>
      <c r="AV47" s="1117">
        <f>IF(OR(AND(D47="",OR($E47&lt;&gt;"",$M47&lt;&gt;"")),AND($E$26="",$D47&gt;"",$M47&lt;&gt;""),AND(G47&lt;&gt;"",OR($D47="",$E47="")),AND(H47&lt;&gt;"",OR($D47="",$E47="")),AND(M47&lt;&gt;"",OR($D47="",$E47=""))),100,IF(AND(OR(AH47="",AH47="Não aplicável",AH47="Conforme"),OR(AM47="",AM47="Conforme")),0,1))</f>
        <v>0</v>
      </c>
      <c r="AW47" s="906" t="str">
        <f>IF(OR('Cálculo-Instalação Colectiva-MP'!$I$5&lt;&gt;1,S47="",S47=0),"",IF(OR(AND(G47&lt;&gt;"",H47=""),AND(G47="",H47&lt;&gt;"")),1,2))</f>
        <v/>
      </c>
      <c r="AY47" s="241">
        <f t="shared" ref="AY47:AY56" si="116">MAX(AZ47:BB47)</f>
        <v>0</v>
      </c>
      <c r="AZ47" s="263" t="str">
        <f t="shared" ref="AZ47:AZ56" si="117">IF($D47="","",IF($D47=$E$47,$AD$47,IF($D47=$E$48,$AD$48,IF($D47=$E$49,$AD$49,IF($D47=$E$50,$AD$50,IF($D47=$E$51,$AD$51,IF($D47=$E$52,$AD$52,IF($D47=$E$53,$AD$53,""))))))))</f>
        <v/>
      </c>
      <c r="BA47" s="263" t="str">
        <f t="shared" ref="BA47:BA56" si="118">IF($D47="","",IF($D47=$E$54,$AD$54,IF($D47=$E$55,$AD$55,IF($D47=$E$56,$AD$56,""))))</f>
        <v/>
      </c>
      <c r="BB47" s="263"/>
      <c r="BI47" s="350" t="str">
        <f>IF(OR(W47="",BM47="",BJ47=0),"0",IF(W47&lt;BJ47,1,"0"))</f>
        <v>0</v>
      </c>
      <c r="BJ47" s="350">
        <f>IF(BM47="",0,LOOKUP(BM47,$CQ$47:$CQ$56,$W$47:$W$56))</f>
        <v>0</v>
      </c>
      <c r="BM47" s="911" t="str">
        <f>IF(OR(BW47="",BV47=1),"",MATCH(BW47,$CY$47:$CY$56,0))</f>
        <v/>
      </c>
      <c r="BV47" s="350" t="str">
        <f>IF(OR(BW47="",BW47=0),"",COUNTIF($BW$47:$CF$56,BW47))</f>
        <v/>
      </c>
      <c r="BW47" s="235" t="str">
        <f>IF(CZ47=0,"",CZ47)</f>
        <v/>
      </c>
      <c r="BX47" s="235" t="str">
        <f>IF(DB47=0,"",DB47)</f>
        <v/>
      </c>
      <c r="BY47" s="235" t="str">
        <f>IF(DJ47=0,"",DJ47)</f>
        <v/>
      </c>
      <c r="BZ47" s="235" t="str">
        <f>IF(DR47=0,"",DR47)</f>
        <v/>
      </c>
      <c r="CA47" s="235" t="str">
        <f>IF(DZ47=0,"",DZ47)</f>
        <v/>
      </c>
      <c r="CB47" s="235" t="str">
        <f>IF(EH47=0,"",EH47)</f>
        <v/>
      </c>
      <c r="CC47" s="235" t="str">
        <f>IF(EP47=0,"",EP47)</f>
        <v/>
      </c>
      <c r="CD47" s="235" t="str">
        <f>IF(EX47=0,"",EX47)</f>
        <v/>
      </c>
      <c r="CE47" s="235" t="str">
        <f>IF(FF47=0,"",FF47)</f>
        <v/>
      </c>
      <c r="CF47" s="235" t="str">
        <f>IF(FN47=0,"",FN47)</f>
        <v/>
      </c>
      <c r="CQ47" s="2">
        <v>1</v>
      </c>
      <c r="CV47" s="207" t="str">
        <f>IF(OR(CX47="",CX47=0),"",IF(CX47=$CX$46,"Crítico",""))</f>
        <v/>
      </c>
      <c r="CW47" s="208" t="str">
        <f>IF(CV47="","",1)</f>
        <v/>
      </c>
      <c r="CX47" s="43">
        <f>DA47+DF47+DN47+DV47+ED47+EL47+ET47+FB47+FJ47+FR47+FZ47+GH47</f>
        <v>0</v>
      </c>
      <c r="CY47" s="163" t="str">
        <f t="shared" ref="CY47:CY56" si="119">IF(D47="","",D47)</f>
        <v/>
      </c>
      <c r="CZ47" s="45" t="str">
        <f t="shared" ref="CZ47:CZ56" si="120">IF(E47="","",E47)</f>
        <v/>
      </c>
      <c r="DA47" s="46">
        <f t="shared" ref="DA47:DA56" si="121">IF(OR(CZ47="",CZ47=0),0,$M47)</f>
        <v>0</v>
      </c>
      <c r="DB47" s="47" t="str">
        <f t="shared" ref="DB47:DB56" si="122">IF(OR(E47="",D47=""),"",D47)</f>
        <v/>
      </c>
      <c r="DC47" s="91">
        <f t="shared" ref="DC47:DC56" si="123">IF(OR(DB47=0,DB47=""),0,IF(DB47=$E$47,$M$47,IF(DB47=$E$48,$M$48,IF(DB47=$E$49,$M$49,IF(DB47=$E$50,$M$50,IF(DB47=$E$51,$M$51,IF(DB47=$E$52,$M$52,IF(DB47=$E$53,$M$53,""))))))))</f>
        <v>0</v>
      </c>
      <c r="DD47" s="91">
        <f t="shared" ref="DD47:DD56" si="124">IF(OR(DB47=0,DB47=""),0,IF(DB47=$E$54,$M$54,IF(DB47=$E$55,$M$55,IF(DB47=$E$56,$M$56,""))))</f>
        <v>0</v>
      </c>
      <c r="DE47" s="91"/>
      <c r="DF47" s="48">
        <f>IF(OR(DB47="",DB47=0),0,MAX(DC47:DD47:DE47))</f>
        <v>0</v>
      </c>
      <c r="DG47" s="115" t="str">
        <f>IF(DB47="","",IF(DB47=$E$47,$D$47,IF(DB47=$E$48,$D$48,IF(DB47=$E$49,$D$49,IF(DB47=$E$50,$D$50,IF(DB47=$E$51,$D$51,IF(DB47=$E$52,$D$52,IF(DB47=$E$53,$D$53,""))))))))</f>
        <v/>
      </c>
      <c r="DH47" s="51" t="str">
        <f>IF(DB47="","",IF(DB47=$E$54,$D$54,IF(DB47=$E$55,$D$55,IF(DB47=$E$56,$D$56,""))))</f>
        <v/>
      </c>
      <c r="DI47" s="51"/>
      <c r="DJ47" s="49" t="str">
        <f>IF(DG47&lt;&gt;"",DG47,IF(DH47&lt;&gt;"",DH47,IF(DI47&lt;&gt;"",DI47,"")))</f>
        <v/>
      </c>
      <c r="DK47" s="91">
        <f t="shared" ref="DK47:DK56" si="125">IF(OR(DJ47=0,DJ47=""),0,IF(DJ47=$E$47,$M$47,IF(DJ47=$E$48,$M$48,IF(DJ47=$E$49,$M$49,IF(DJ47=$E$50,$M$50,IF(DJ47=$E$51,$M$51,IF(DJ47=$E$52,$M$52,IF(DJ47=$E$53,$M$53,""))))))))</f>
        <v>0</v>
      </c>
      <c r="DL47" s="91">
        <f t="shared" ref="DL47:DL56" si="126">IF(OR(DJ47=0,DJ47=""),0,IF(DJ47=$E$54,$M$54,IF(DJ47=$E$55,$M$55,IF(DJ47=$E$56,$M$56,""))))</f>
        <v>0</v>
      </c>
      <c r="DM47" s="91"/>
      <c r="DN47" s="48">
        <f>IF(OR(DJ47="",DJ47=0),0,MAX(DK47:DL47:DM47))</f>
        <v>0</v>
      </c>
      <c r="DO47" s="115" t="str">
        <f>IF(DJ47="","",IF(DJ47=$E$47,$D$47,IF(DJ47=$E$48,$D$48,IF(DJ47=$E$49,$D$49,IF(DJ47=$E$50,$D$50,IF(DJ47=$E$51,$D$51,IF(DJ47=$E$52,$D$52,IF(DJ47=$E$53,$D$53,""))))))))</f>
        <v/>
      </c>
      <c r="DP47" s="51" t="str">
        <f>IF(DJ47="","",IF(DJ47=$E$54,$D$54,IF(DJ47=$E$55,$D$55,IF(DJ47=$E$56,$D$56,""))))</f>
        <v/>
      </c>
      <c r="DQ47" s="51"/>
      <c r="DR47" s="49" t="str">
        <f t="shared" ref="DR47:DR56" si="127">IF(DO47&lt;&gt;"",DO47,IF(DP47&lt;&gt;"",DP47,IF(DQ47&lt;&gt;"",DQ47,"")))</f>
        <v/>
      </c>
      <c r="DS47" s="91">
        <f t="shared" ref="DS47:DS56" si="128">IF(OR(DR47=0,DR47=""),0,IF(DR47=$E$47,$M$47,IF(DR47=$E$48,$M$48,IF(DR47=$E$49,$M$49,IF(DR47=$E$50,$M$50,IF(DR47=$E$51,$M$51,IF(DR47=$E$52,$M$52,IF(DR47=$E$53,$M$53,""))))))))</f>
        <v>0</v>
      </c>
      <c r="DT47" s="91">
        <f t="shared" ref="DT47:DT56" si="129">IF(OR(DR47=0,DR47=""),0,IF(DR47=$E$54,$M$54,IF(DR47=$E$55,$M$55,IF(DR47=$E$56,$M$56,""))))</f>
        <v>0</v>
      </c>
      <c r="DU47" s="91"/>
      <c r="DV47" s="48">
        <f>IF(OR(DR47="",DR47=0),0,MAX(DS47:DT47:DU47))</f>
        <v>0</v>
      </c>
      <c r="DW47" s="115" t="str">
        <f>IF(DR47="","",IF(DR47=$E$47,$D$47,IF(DR47=$E$48,$D$48,IF(DR47=$E$49,$D$49,IF(DR47=$E$50,$D$50,IF(DR47=$E$51,$D$51,IF(DR47=$E$52,$D$52,IF(DR47=$E$53,$D$53,""))))))))</f>
        <v/>
      </c>
      <c r="DX47" s="51" t="str">
        <f>IF(DR47="","",IF(DR47=$E$54,$D$54,IF(DR47=$E$55,$D$55,IF(DR47=$E$56,$D$56,""))))</f>
        <v/>
      </c>
      <c r="DY47" s="51"/>
      <c r="DZ47" s="49" t="str">
        <f t="shared" ref="DZ47:DZ56" si="130">IF(DW47&lt;&gt;"",DW47,IF(DX47&lt;&gt;"",DX47,IF(DY47&lt;&gt;"",DY47,"")))</f>
        <v/>
      </c>
      <c r="EA47" s="91">
        <f t="shared" ref="EA47:EA56" si="131">IF(OR(DZ47=0,DZ47=""),0,IF(DZ47=$E$47,$M$47,IF(DZ47=$E$48,$M$48,IF(DZ47=$E$49,$M$49,IF(DZ47=$E$50,$M$50,IF(DZ47=$E$51,$M$51,IF(DZ47=$E$52,$M$52,IF(DZ47=$E$53,$M$53,""))))))))</f>
        <v>0</v>
      </c>
      <c r="EB47" s="91">
        <f t="shared" ref="EB47:EB56" si="132">IF(OR(DZ47=0,DZ47=""),0,IF(DZ47=$E$54,$M$54,IF(DZ47=$E$55,$M$55,IF(DZ47=$E$56,$M$56,""))))</f>
        <v>0</v>
      </c>
      <c r="EC47" s="91"/>
      <c r="ED47" s="48">
        <f>IF(OR(DZ47="",DZ47=0),0,MAX(EA47:EB47:EC47))</f>
        <v>0</v>
      </c>
      <c r="EE47" s="115" t="str">
        <f>IF(DZ47="","",IF(DZ47=$E$47,$D$47,IF(DZ47=$E$48,$D$48,IF(DZ47=$E$49,$D$49,IF(DZ47=$E$50,$D$50,IF(DZ47=$E$51,$D$51,IF(DZ47=$E$52,$D$52,IF(DZ47=$E$53,$D$53,""))))))))</f>
        <v/>
      </c>
      <c r="EF47" s="51" t="str">
        <f>IF(DZ47="","",IF(DZ47=$E$54,$D$54,IF(DZ47=$E$55,$D$55,IF(DZ47=$E$56,$D$56,""))))</f>
        <v/>
      </c>
      <c r="EG47" s="51"/>
      <c r="EH47" s="49" t="str">
        <f t="shared" ref="EH47:EH56" si="133">IF(EE47&lt;&gt;"",EE47,IF(EF47&lt;&gt;"",EF47,IF(EG47&lt;&gt;"",EG47,"")))</f>
        <v/>
      </c>
      <c r="EI47" s="91">
        <f t="shared" ref="EI47:EI56" si="134">IF(OR(EH47=0,EH47=""),0,IF(EH47=$E$47,$M$47,IF(EH47=$E$48,$M$48,IF(EH47=$E$49,$M$49,IF(EH47=$E$50,$M$50,IF(EH47=$E$51,$M$51,IF(EH47=$E$52,$M$52,IF(EH47=$E$53,$M$53,""))))))))</f>
        <v>0</v>
      </c>
      <c r="EJ47" s="91">
        <f t="shared" ref="EJ47:EJ56" si="135">IF(OR(EH47=0,EH47=""),0,IF(EH47=$E$54,$M$54,IF(EH47=$E$55,$M$55,IF(EH47=$E$56,$M$56,""))))</f>
        <v>0</v>
      </c>
      <c r="EK47" s="91"/>
      <c r="EL47" s="48">
        <f>IF(OR(EH47="",EH47=0),0,MAX(EI47:EJ47:EK47))</f>
        <v>0</v>
      </c>
      <c r="EM47" s="115" t="str">
        <f>IF(EH47="","",IF(EH47=$E$47,$D$47,IF(EH47=$E$48,$D$48,IF(EH47=$E$49,$D$49,IF(EH47=$E$50,$D$50,IF(EH47=$E$51,$D$51,IF(EH47=$E$52,$D$52,IF(EH47=$E$53,$D$53,""))))))))</f>
        <v/>
      </c>
      <c r="EN47" s="51" t="str">
        <f>IF(EH47="","",IF(EH47=$E$54,$D$54,IF(EH47=$E$55,$D$55,IF(EH47=$E$56,$D$56,""))))</f>
        <v/>
      </c>
      <c r="EO47" s="51"/>
      <c r="EP47" s="49" t="str">
        <f t="shared" ref="EP47:EP56" si="136">IF(EM47&lt;&gt;"",EM47,IF(EN47&lt;&gt;"",EN47,IF(EO47&lt;&gt;"",EO47,"")))</f>
        <v/>
      </c>
      <c r="EQ47" s="91">
        <f t="shared" ref="EQ47:EQ56" si="137">IF(OR(EP47=0,EP47=""),0,IF(EP47=$E$47,$M$47,IF(EP47=$E$48,$M$48,IF(EP47=$E$49,$M$49,IF(EP47=$E$50,$M$50,IF(EP47=$E$51,$M$51,IF(EP47=$E$52,$M$52,IF(EP47=$E$53,$M$53,""))))))))</f>
        <v>0</v>
      </c>
      <c r="ER47" s="91">
        <f t="shared" ref="ER47:ER56" si="138">IF(OR(EP47=0,EP47=""),0,IF(EP47=$E$54,$M$54,IF(EP47=$E$55,$M$55,IF(EP47=$E$56,$M$56,""))))</f>
        <v>0</v>
      </c>
      <c r="ES47" s="91"/>
      <c r="ET47" s="48">
        <f>IF(OR(EP47="",EP47=0),0,MAX(EQ47:ER47:ES47))</f>
        <v>0</v>
      </c>
      <c r="EU47" s="115" t="str">
        <f>IF(EP47="","",IF(EP47=$E$47,$D$47,IF(EP47=$E$48,$D$48,IF(EP47=$E$49,$D$49,IF(EP47=$E$50,$D$50,IF(EP47=$E$51,$D$51,IF(EP47=$E$52,$D$52,IF(EP47=$E$53,$D$53,""))))))))</f>
        <v/>
      </c>
      <c r="EV47" s="51" t="str">
        <f>IF(EP47="","",IF(EP47=$E$54,$D$54,IF(EP47=$E$55,$D$55,IF(EP47=$E$56,$D$56,""))))</f>
        <v/>
      </c>
      <c r="EW47" s="51"/>
      <c r="EX47" s="49" t="str">
        <f t="shared" ref="EX47:EX56" si="139">IF(EU47&lt;&gt;"",EU47,IF(EV47&lt;&gt;"",EV47,IF(EW47&lt;&gt;"",EW47,"")))</f>
        <v/>
      </c>
      <c r="EY47" s="91">
        <f t="shared" ref="EY47:EY56" si="140">IF(OR(EX47=0,EX47=""),0,IF(EX47=$E$47,$M$47,IF(EX47=$E$48,$M$48,IF(EX47=$E$49,$M$49,IF(EX47=$E$50,$M$50,IF(EX47=$E$51,$M$51,IF(EX47=$E$52,$M$52,IF(EX47=$E$53,$M$53,""))))))))</f>
        <v>0</v>
      </c>
      <c r="EZ47" s="91">
        <f t="shared" ref="EZ47:EZ56" si="141">IF(OR(EX47=0,EX47=""),0,IF(EX47=$E$54,$M$54,IF(EX47=$E$55,$M$55,IF(EX47=$E$56,$M$56,""))))</f>
        <v>0</v>
      </c>
      <c r="FA47" s="91"/>
      <c r="FB47" s="48">
        <f>IF(OR(EX47="",EX47=0),0,MAX(EY47:EZ47:FA47))</f>
        <v>0</v>
      </c>
      <c r="FC47" s="115" t="str">
        <f>IF(EX47="","",IF(EX47=$E$47,$D$47,IF(EX47=$E$48,$D$48,IF(EX47=$E$49,$D$49,IF(EX47=$E$50,$D$50,IF(EX47=$E$51,$D$51,IF(EX47=$E$52,$D$52,IF(EX47=$E$53,$D$53,""))))))))</f>
        <v/>
      </c>
      <c r="FD47" s="51" t="str">
        <f>IF(EX47="","",IF(EX47=$E$54,$D$54,IF(EX47=$E$55,$D$55,IF(EX47=$E$56,$D$56,""))))</f>
        <v/>
      </c>
      <c r="FE47" s="51"/>
      <c r="FF47" s="49" t="str">
        <f t="shared" ref="FF47:FF56" si="142">IF(FC47&lt;&gt;"",FC47,IF(FD47&lt;&gt;"",FD47,IF(FE47&lt;&gt;"",FE47,"")))</f>
        <v/>
      </c>
      <c r="FG47" s="91">
        <f t="shared" ref="FG47:FG56" si="143">IF(OR(FF47=0,FF47=""),0,IF(FF47=$E$47,$M$47,IF(FF47=$E$48,$M$48,IF(FF47=$E$49,$M$49,IF(FF47=$E$50,$M$50,IF(FF47=$E$51,$M$51,IF(FF47=$E$52,$M$52,IF(FF47=$E$53,$M$53,""))))))))</f>
        <v>0</v>
      </c>
      <c r="FH47" s="91">
        <f t="shared" ref="FH47:FH56" si="144">IF(OR(FF47=0,FF47=""),0,IF(FF47=$E$54,$M$54,IF(FF47=$E$55,$M$55,IF(FF47=$E$56,$M$56,""))))</f>
        <v>0</v>
      </c>
      <c r="FI47" s="91"/>
      <c r="FJ47" s="48">
        <f>IF(OR(FF47="",FF47=0),0,MAX(FG47:FH47:FI47))</f>
        <v>0</v>
      </c>
      <c r="FK47" s="115" t="str">
        <f>IF(FF47="","",IF(FF47=$E$47,$D$47,IF(FF47=$E$48,$D$48,IF(FF47=$E$49,$D$49,IF(FF47=$E$50,$D$50,IF(FF47=$E$51,$D$51,IF(FF47=$E$52,$D$52,IF(FF47=$E$53,$D$53,""))))))))</f>
        <v/>
      </c>
      <c r="FL47" s="51" t="str">
        <f>IF(FF47="","",IF(FF47=$E$54,$D$54,IF(FF47=$E$55,$D$55,IF(FF47=$E$56,$D$56,""))))</f>
        <v/>
      </c>
      <c r="FM47" s="51"/>
      <c r="FN47" s="49" t="str">
        <f t="shared" ref="FN47:FN56" si="145">IF(FK47&lt;&gt;"",FK47,IF(FL47&lt;&gt;"",FL47,IF(FM47&lt;&gt;"",FM47,"")))</f>
        <v/>
      </c>
      <c r="FO47" s="91">
        <f t="shared" ref="FO47:FO56" si="146">IF(OR(FN47=0,FN47=""),0,IF(FN47=$E$47,$M$47,IF(FN47=$E$48,$M$48,IF(FN47=$E$49,$M$49,IF(FN47=$E$50,$M$50,IF(FN47=$E$51,$M$51,IF(FN47=$E$52,$M$52,IF(FN47=$E$53,$M$53,""))))))))</f>
        <v>0</v>
      </c>
      <c r="FP47" s="91">
        <f t="shared" ref="FP47:FP56" si="147">IF(OR(FN47=0,FN47=""),0,IF(FN47=$E$54,$M$54,IF(FN47=$E$55,$M$55,IF(FN47=$E$56,$M$56,""))))</f>
        <v>0</v>
      </c>
      <c r="FQ47" s="91"/>
      <c r="FR47" s="48">
        <f>IF(OR(FN47="",FN47=0),0,MAX(FO47:FP47:FQ47))</f>
        <v>0</v>
      </c>
      <c r="FS47" s="115" t="str">
        <f>IF(FN47="","",IF(FN47=$E$47,$D$47,IF(FN47=$E$48,$D$48,IF(FN47=$E$49,$D$49,IF(FN47=$E$50,$D$50,IF(FN47=$E$51,$D$51,IF(FN47=$E$52,$D$52,IF(FN47=$E$53,$D$53,""))))))))</f>
        <v/>
      </c>
      <c r="FT47" s="51" t="str">
        <f>IF(FN47="","",IF(FN47=$E$54,$D$54,IF(FN47=$E$55,$D$55,IF(FN47=$E$56,$D$56,""))))</f>
        <v/>
      </c>
      <c r="FU47" s="51"/>
      <c r="FV47" s="49" t="str">
        <f t="shared" ref="FV47:FV56" si="148">IF(FS47&lt;&gt;"",FS47,IF(FT47&lt;&gt;"",FT47,IF(FU47&lt;&gt;"",FU47,"")))</f>
        <v/>
      </c>
      <c r="FW47" s="91">
        <f t="shared" ref="FW47:FW56" si="149">IF(OR(FV47=0,FV47=""),0,IF(FV47=$E$47,$M$47,IF(FV47=$E$48,$M$48,IF(FV47=$E$49,$M$49,IF(FV47=$E$50,$M$50,IF(FV47=$E$51,$M$51,IF(FV47=$E$52,$M$52,IF(FV47=$E$53,$M$53,""))))))))</f>
        <v>0</v>
      </c>
      <c r="FX47" s="91">
        <f t="shared" ref="FX47:FX56" si="150">IF(OR(FV47=0,FV47=""),0,IF(FV47=$E$54,$M$54,IF(FV47=$E$55,$M$55,IF(FV47=$E$56,$M$56,""))))</f>
        <v>0</v>
      </c>
      <c r="FY47" s="91"/>
      <c r="FZ47" s="48">
        <f>IF(OR(FV47="",FV47=0),0,MAX(FW47:FX47:FY47))</f>
        <v>0</v>
      </c>
      <c r="GA47" s="115" t="str">
        <f>IF(FV47="","",IF(FV47=$E$47,$D$47,IF(FV47=$E$48,$D$48,IF(FV47=$E$49,$D$49,IF(FV47=$E$50,$D$50,IF(FV47=$E$51,$D$51,IF(FV47=$E$52,$D$52,IF(FV47=$E$53,$D$53,""))))))))</f>
        <v/>
      </c>
      <c r="GB47" s="51" t="str">
        <f>IF(FV47="","",IF(FV47=$E$54,$D$54,IF(FV47=$E$55,$D$55,IF(FV47=$E$56,$D$56,""))))</f>
        <v/>
      </c>
      <c r="GC47" s="51"/>
      <c r="GD47" s="49" t="str">
        <f t="shared" ref="GD47:GD56" si="151">IF(GA47&lt;&gt;"",GA47,IF(GB47&lt;&gt;"",GB47,IF(GC47&lt;&gt;"",GC47,"")))</f>
        <v/>
      </c>
      <c r="GE47" s="91">
        <f t="shared" ref="GE47:GE56" si="152">IF(OR(GD47=0,GD47=""),0,IF(GD47=$E$47,$M$47,IF(GD47=$E$48,$M$48,IF(GD47=$E$49,$M$49,IF(GD47=$E$50,$M$50,IF(GD47=$E$51,$M$51,IF(GD47=$E$52,$M$52,IF(GD47=$E$53,$M$53,""))))))))</f>
        <v>0</v>
      </c>
      <c r="GF47" s="91">
        <f t="shared" ref="GF47:GF56" si="153">IF(OR(GD47=0,GD47=""),0,IF(GD47=$E$54,$M$54,IF(GD47=$E$55,$M$55,IF(GD47=$E$56,$M$56,""))))</f>
        <v>0</v>
      </c>
      <c r="GG47" s="91"/>
      <c r="GH47" s="48">
        <f>IF(OR(GD47="",GD47=0),0,MAX(GE47:GF47:GG47))</f>
        <v>0</v>
      </c>
    </row>
    <row r="48" spans="1:190" s="16" customFormat="1" ht="18" customHeight="1" thickTop="1" thickBot="1" x14ac:dyDescent="0.35">
      <c r="A48" s="902" t="str">
        <f t="shared" ref="A48:A56" si="154">IF(OR(N48="",ABS(N48)&lt;=M48),"",1)</f>
        <v/>
      </c>
      <c r="B48" s="826" t="str">
        <f t="shared" ref="B48:B56" si="155">IF(OR(D48="",E48=""),"",1)</f>
        <v/>
      </c>
      <c r="C48" s="843" t="str">
        <f>IF(B48="","",SUM(B$47:B48))</f>
        <v/>
      </c>
      <c r="D48" s="958"/>
      <c r="E48" s="959"/>
      <c r="F48" s="948" t="str">
        <f>IF($D48="","",IF($F$47="","",$F$47))</f>
        <v/>
      </c>
      <c r="G48" s="961"/>
      <c r="H48" s="961"/>
      <c r="I48" s="964" t="str">
        <f t="shared" si="105"/>
        <v/>
      </c>
      <c r="J48" s="964" t="str">
        <f t="shared" si="106"/>
        <v/>
      </c>
      <c r="K48" s="965">
        <f t="shared" si="107"/>
        <v>0</v>
      </c>
      <c r="L48" s="966">
        <f t="shared" si="108"/>
        <v>0</v>
      </c>
      <c r="M48" s="955"/>
      <c r="N48" s="956"/>
      <c r="O48" s="925"/>
      <c r="P48" s="927" t="str">
        <f>IF(M48="","",IF(O48="",ABS(M48)*(1+'Cálculo-Instalação Colectiva-MP'!$L$13),ABS(M48)+O48))</f>
        <v/>
      </c>
      <c r="Q48" s="928" t="str">
        <f t="shared" si="109"/>
        <v/>
      </c>
      <c r="R48" s="935" t="str">
        <f t="shared" si="110"/>
        <v/>
      </c>
      <c r="S48" s="111" t="str">
        <f t="shared" si="111"/>
        <v/>
      </c>
      <c r="T48" s="926"/>
      <c r="U48" s="610" t="str">
        <f>IF(S48="","",IF(T48&lt;&gt;"",T48,S48))</f>
        <v/>
      </c>
      <c r="V48" s="936" t="str">
        <f>IF(OR(S48="",S48=0),"",IF($U48&gt;'Quadro 3'!$F$23,'Quadro 3'!$F$23,IF($U48&lt;'Quadro 3'!$F$10,'Quadro 3'!$F$10,MIN($W48,$X48))))</f>
        <v/>
      </c>
      <c r="W48" s="937" t="str">
        <f>IF(AND(AW48&lt;&gt;2,$U48&lt;='Quadro 3'!$F$10),'Quadro 3'!$F$10,IF($U48&lt;='Quadro 3'!$F$11,'Quadro 3'!$F$11,IF($U48&lt;='Quadro 3'!$F$12,'Quadro 3'!$F$12,IF($U48&lt;='Quadro 3'!$F$13,'Quadro 3'!$F$13,IF($U48&lt;='Quadro 3'!$F$14,'Quadro 3'!$F$14,IF($U48&lt;='Quadro 3'!$F$15,'Quadro 3'!$F$15,IF($U48&lt;='Quadro 3'!$F$16,'Quadro 3'!$F$16,"")))))))</f>
        <v/>
      </c>
      <c r="X48" s="938" t="str">
        <f>IF(OR(S48="",S48=0),"",IF($U48&lt;='Quadro 3'!$F$17,'Quadro 3'!$F$17,IF($U48&lt;='Quadro 3'!$F$18,'Quadro 3'!$F$18,IF($U48&lt;='Quadro 3'!$F$19,'Quadro 3'!$F$19,IF($U48&lt;='Quadro 3'!$F$20,'Quadro 3'!$F$20,IF($U48&lt;='Quadro 3'!$F$21,'Quadro 3'!$F$21,IF($U48&lt;='Quadro 3'!$F$22,'Quadro 3'!$F$22,IF($U48&lt;='Quadro 3'!$F$23,'Quadro 3'!$F$23,'Quadro 3'!$F$23))))))))</f>
        <v/>
      </c>
      <c r="Y48" s="936" t="str">
        <f>IF($V48="","",LOOKUP($V48,'Quadro 3'!$F$9:$F$23,'Quadro 3'!$G$9:$G$23))</f>
        <v/>
      </c>
      <c r="Z48" s="1129" t="str">
        <f>IF($V48="","",LOOKUP($V48,'Quadro 3'!$F$9:$F$23,'Quadro 3'!$D$9:$D$23))</f>
        <v/>
      </c>
      <c r="AA48" s="939" t="str">
        <f>IF($V48="","",LOOKUP($V48,'Quadro 3'!$F$9:$F$23,'Quadro 3'!$E$9:$E$23))</f>
        <v/>
      </c>
      <c r="AB48" s="929" t="str">
        <f t="shared" si="112"/>
        <v/>
      </c>
      <c r="AC48" s="930" t="str">
        <f>IF(OR($D48="",$P48="",$V48="",AB48="",AB48=0),"",(AB48/$AY$12-$AY$13*ABS($P48)*$AY$10*($Q48^1.82/$V48^4.82))*$AY$12)</f>
        <v/>
      </c>
      <c r="AD48" s="942" t="str">
        <f t="shared" ref="AD48:AD56" si="156">IF(AC48="","",(AC48/$AY$12+($AY$20*(1-$AY$9)*$N48))*$AY$12)</f>
        <v/>
      </c>
      <c r="AE48" s="1124" t="str">
        <f t="shared" ref="AE48:AE56" si="157">IF(AD48="","",(AB48+AD48)/2)</f>
        <v/>
      </c>
      <c r="AF48" s="931" t="str">
        <f t="shared" si="113"/>
        <v/>
      </c>
      <c r="AG48" s="943" t="str">
        <f t="shared" ref="AG48:AG56" si="158">IF(AD48="","",($AY$11-AD48))</f>
        <v/>
      </c>
      <c r="AH48" s="1153" t="str">
        <f t="shared" si="114"/>
        <v/>
      </c>
      <c r="AI48" s="1154"/>
      <c r="AJ48" s="940"/>
      <c r="AK48" s="942"/>
      <c r="AL48" s="933" t="str">
        <f t="shared" ref="AL48:AL56" si="159">IF(AE48="","",(354*Q48*$N$14)/(V48^2*(AE48+$N$14)))</f>
        <v/>
      </c>
      <c r="AM48" s="1153" t="str">
        <f t="shared" si="115"/>
        <v/>
      </c>
      <c r="AN48" s="1154"/>
      <c r="AO48" s="17"/>
      <c r="AP48" s="909" t="str">
        <f t="shared" ref="AP48:AP56" si="160">IF(AW48="","",IF(AND(AW48=2,V48&lt;21.7),4,""))</f>
        <v/>
      </c>
      <c r="AV48" s="1117">
        <f t="shared" ref="AV48:AV56" si="161">IF(OR(AND(D48="",OR($E48&lt;&gt;"",$M48&lt;&gt;"")),AND($E$26="",$D48&gt;"",$M48&lt;&gt;""),AND(G48&lt;&gt;"",OR($D48="",$E48="")),AND(H48&lt;&gt;"",OR($D48="",$E48="")),AND(M48&lt;&gt;"",OR($D48="",$E48=""))),100,IF(AND(OR(AH48="",AH48="Não aplicável",AH48="Conforme"),OR(AM48="",AM48="Conforme")),0,1))</f>
        <v>0</v>
      </c>
      <c r="AW48" s="906" t="str">
        <f>IF(OR('Cálculo-Instalação Colectiva-MP'!$I$5&lt;&gt;1,S48="",S48=0),"",IF(OR(AND(G48&lt;&gt;"",H48=""),AND(G48="",H48&lt;&gt;"")),1,2))</f>
        <v/>
      </c>
      <c r="AY48" s="241">
        <f t="shared" si="116"/>
        <v>0</v>
      </c>
      <c r="AZ48" s="263" t="str">
        <f t="shared" si="117"/>
        <v/>
      </c>
      <c r="BA48" s="263" t="str">
        <f t="shared" si="118"/>
        <v/>
      </c>
      <c r="BB48" s="263"/>
      <c r="BI48" s="350" t="str">
        <f t="shared" ref="BI48:BI56" si="162">IF(OR(W48="",BM48="",BJ48=0),"0",IF(W48&lt;BJ48,1,"0"))</f>
        <v>0</v>
      </c>
      <c r="BJ48" s="350">
        <f t="shared" ref="BJ48:BJ56" si="163">IF(BM48="",0,LOOKUP(BM48,$CQ$47:$CQ$56,$W$47:$W$56))</f>
        <v>0</v>
      </c>
      <c r="BM48" s="911" t="str">
        <f t="shared" ref="BM48:BM56" si="164">IF(OR(BW48="",BV48=1),"",MATCH(BW48,$CY$47:$CY$56,0))</f>
        <v/>
      </c>
      <c r="BV48" s="350" t="str">
        <f t="shared" ref="BV48:BV56" si="165">IF(OR(BW48="",BW48=0),"",COUNTIF($BW$47:$CF$56,BW48))</f>
        <v/>
      </c>
      <c r="BW48" s="235" t="str">
        <f t="shared" ref="BW48:BW56" si="166">IF(CZ48=0,"",CZ48)</f>
        <v/>
      </c>
      <c r="BX48" s="235" t="str">
        <f t="shared" ref="BX48:BX56" si="167">IF(DB48=0,"",DB48)</f>
        <v/>
      </c>
      <c r="BY48" s="235" t="str">
        <f t="shared" ref="BY48:BY56" si="168">IF(DJ48=0,"",DJ48)</f>
        <v/>
      </c>
      <c r="BZ48" s="235" t="str">
        <f t="shared" ref="BZ48:BZ56" si="169">IF(DR48=0,"",DR48)</f>
        <v/>
      </c>
      <c r="CA48" s="235" t="str">
        <f t="shared" ref="CA48:CA56" si="170">IF(DZ48=0,"",DZ48)</f>
        <v/>
      </c>
      <c r="CB48" s="235" t="str">
        <f t="shared" ref="CB48:CB56" si="171">IF(EH48=0,"",EH48)</f>
        <v/>
      </c>
      <c r="CC48" s="235" t="str">
        <f t="shared" ref="CC48:CC56" si="172">IF(EP48=0,"",EP48)</f>
        <v/>
      </c>
      <c r="CD48" s="235" t="str">
        <f t="shared" ref="CD48:CD56" si="173">IF(EX48=0,"",EX48)</f>
        <v/>
      </c>
      <c r="CE48" s="235" t="str">
        <f t="shared" ref="CE48:CE56" si="174">IF(FF48=0,"",FF48)</f>
        <v/>
      </c>
      <c r="CF48" s="235" t="str">
        <f t="shared" ref="CF48:CF56" si="175">IF(FN48=0,"",FN48)</f>
        <v/>
      </c>
      <c r="CQ48" s="2">
        <v>2</v>
      </c>
      <c r="CV48" s="209" t="str">
        <f>IF(OR(CX48="",CX48=0),"",IF(CX48=$CX$46,"Crítico",""))</f>
        <v/>
      </c>
      <c r="CW48" s="204" t="str">
        <f>IF(CV48="","",1)</f>
        <v/>
      </c>
      <c r="CX48" s="43">
        <f>DA48+DF48+DN48+DV48+ED48+EL48+ET48+FB48+FJ48+FR48+FZ48+GH48</f>
        <v>0</v>
      </c>
      <c r="CY48" s="163" t="str">
        <f t="shared" si="119"/>
        <v/>
      </c>
      <c r="CZ48" s="45" t="str">
        <f t="shared" si="120"/>
        <v/>
      </c>
      <c r="DA48" s="46">
        <f t="shared" si="121"/>
        <v>0</v>
      </c>
      <c r="DB48" s="47" t="str">
        <f t="shared" si="122"/>
        <v/>
      </c>
      <c r="DC48" s="91">
        <f t="shared" si="123"/>
        <v>0</v>
      </c>
      <c r="DD48" s="91">
        <f t="shared" si="124"/>
        <v>0</v>
      </c>
      <c r="DE48" s="91"/>
      <c r="DF48" s="48">
        <f>IF(OR(DB48="",DB48=0),0,MAX(DC48:DD48:DE48))</f>
        <v>0</v>
      </c>
      <c r="DG48" s="115" t="str">
        <f t="shared" ref="DG48:DG56" si="176">IF(DB48="","",IF(DB48=$E$47,$D$47,IF(DB48=$E$48,$D$48,IF(DB48=$E$49,$D$49,IF(DB48=$E$50,$D$50,IF(DB48=$E$51,$D$51,IF(DB48=$E$52,$D$52,IF(DB48=$E$53,$D$53,""))))))))</f>
        <v/>
      </c>
      <c r="DH48" s="51" t="str">
        <f t="shared" ref="DH48:DH56" si="177">IF(DB48="","",IF(DB48=$E$54,$D$54,IF(DB48=$E$55,$D$55,IF(DB48=$E$56,$D$56,""))))</f>
        <v/>
      </c>
      <c r="DI48" s="51"/>
      <c r="DJ48" s="49" t="str">
        <f t="shared" ref="DJ48:DJ56" si="178">IF(DG48&lt;&gt;"",DG48,IF(DH48&lt;&gt;"",DH48,IF(DI48&lt;&gt;"",DI48,"")))</f>
        <v/>
      </c>
      <c r="DK48" s="91">
        <f t="shared" si="125"/>
        <v>0</v>
      </c>
      <c r="DL48" s="91">
        <f t="shared" si="126"/>
        <v>0</v>
      </c>
      <c r="DM48" s="91"/>
      <c r="DN48" s="48">
        <f>IF(OR(DJ48="",DJ48=0),0,MAX(DK48:DL48:DM48))</f>
        <v>0</v>
      </c>
      <c r="DO48" s="115" t="str">
        <f t="shared" ref="DO48:DO56" si="179">IF(DJ48="","",IF(DJ48=$E$47,$D$47,IF(DJ48=$E$48,$D$48,IF(DJ48=$E$49,$D$49,IF(DJ48=$E$50,$D$50,IF(DJ48=$E$51,$D$51,IF(DJ48=$E$52,$D$52,IF(DJ48=$E$53,$D$53,""))))))))</f>
        <v/>
      </c>
      <c r="DP48" s="51" t="str">
        <f t="shared" ref="DP48:DP56" si="180">IF(DJ48="","",IF(DJ48=$E$54,$D$54,IF(DJ48=$E$55,$D$55,IF(DJ48=$E$56,$D$56,""))))</f>
        <v/>
      </c>
      <c r="DQ48" s="51"/>
      <c r="DR48" s="49" t="str">
        <f t="shared" si="127"/>
        <v/>
      </c>
      <c r="DS48" s="91">
        <f t="shared" si="128"/>
        <v>0</v>
      </c>
      <c r="DT48" s="91">
        <f t="shared" si="129"/>
        <v>0</v>
      </c>
      <c r="DU48" s="91"/>
      <c r="DV48" s="48">
        <f>IF(OR(DR48="",DR48=0),0,MAX(DS48:DT48:DU48))</f>
        <v>0</v>
      </c>
      <c r="DW48" s="115" t="str">
        <f t="shared" ref="DW48:DW56" si="181">IF(DR48="","",IF(DR48=$E$47,$D$47,IF(DR48=$E$48,$D$48,IF(DR48=$E$49,$D$49,IF(DR48=$E$50,$D$50,IF(DR48=$E$51,$D$51,IF(DR48=$E$52,$D$52,IF(DR48=$E$53,$D$53,""))))))))</f>
        <v/>
      </c>
      <c r="DX48" s="51" t="str">
        <f t="shared" ref="DX48:DX56" si="182">IF(DR48="","",IF(DR48=$E$54,$D$54,IF(DR48=$E$55,$D$55,IF(DR48=$E$56,$D$56,""))))</f>
        <v/>
      </c>
      <c r="DY48" s="51"/>
      <c r="DZ48" s="49" t="str">
        <f t="shared" si="130"/>
        <v/>
      </c>
      <c r="EA48" s="91">
        <f t="shared" si="131"/>
        <v>0</v>
      </c>
      <c r="EB48" s="91">
        <f t="shared" si="132"/>
        <v>0</v>
      </c>
      <c r="EC48" s="91"/>
      <c r="ED48" s="48">
        <f>IF(OR(DZ48="",DZ48=0),0,MAX(EA48:EB48:EC48))</f>
        <v>0</v>
      </c>
      <c r="EE48" s="115" t="str">
        <f t="shared" ref="EE48:EE56" si="183">IF(DZ48="","",IF(DZ48=$E$47,$D$47,IF(DZ48=$E$48,$D$48,IF(DZ48=$E$49,$D$49,IF(DZ48=$E$50,$D$50,IF(DZ48=$E$51,$D$51,IF(DZ48=$E$52,$D$52,IF(DZ48=$E$53,$D$53,""))))))))</f>
        <v/>
      </c>
      <c r="EF48" s="51" t="str">
        <f t="shared" ref="EF48:EF56" si="184">IF(DZ48="","",IF(DZ48=$E$54,$D$54,IF(DZ48=$E$55,$D$55,IF(DZ48=$E$56,$D$56,""))))</f>
        <v/>
      </c>
      <c r="EG48" s="51"/>
      <c r="EH48" s="49" t="str">
        <f t="shared" si="133"/>
        <v/>
      </c>
      <c r="EI48" s="91">
        <f t="shared" si="134"/>
        <v>0</v>
      </c>
      <c r="EJ48" s="91">
        <f t="shared" si="135"/>
        <v>0</v>
      </c>
      <c r="EK48" s="91"/>
      <c r="EL48" s="48">
        <f>IF(OR(EH48="",EH48=0),0,MAX(EI48:EJ48:EK48))</f>
        <v>0</v>
      </c>
      <c r="EM48" s="115" t="str">
        <f t="shared" ref="EM48:EM56" si="185">IF(EH48="","",IF(EH48=$E$47,$D$47,IF(EH48=$E$48,$D$48,IF(EH48=$E$49,$D$49,IF(EH48=$E$50,$D$50,IF(EH48=$E$51,$D$51,IF(EH48=$E$52,$D$52,IF(EH48=$E$53,$D$53,""))))))))</f>
        <v/>
      </c>
      <c r="EN48" s="51" t="str">
        <f t="shared" ref="EN48:EN56" si="186">IF(EH48="","",IF(EH48=$E$54,$D$54,IF(EH48=$E$55,$D$55,IF(EH48=$E$56,$D$56,""))))</f>
        <v/>
      </c>
      <c r="EO48" s="51"/>
      <c r="EP48" s="49" t="str">
        <f t="shared" si="136"/>
        <v/>
      </c>
      <c r="EQ48" s="91">
        <f t="shared" si="137"/>
        <v>0</v>
      </c>
      <c r="ER48" s="91">
        <f t="shared" si="138"/>
        <v>0</v>
      </c>
      <c r="ES48" s="91"/>
      <c r="ET48" s="48">
        <f>IF(OR(EP48="",EP48=0),0,MAX(EQ48:ER48:ES48))</f>
        <v>0</v>
      </c>
      <c r="EU48" s="115" t="str">
        <f t="shared" ref="EU48:EU56" si="187">IF(EP48="","",IF(EP48=$E$47,$D$47,IF(EP48=$E$48,$D$48,IF(EP48=$E$49,$D$49,IF(EP48=$E$50,$D$50,IF(EP48=$E$51,$D$51,IF(EP48=$E$52,$D$52,IF(EP48=$E$53,$D$53,""))))))))</f>
        <v/>
      </c>
      <c r="EV48" s="51" t="str">
        <f t="shared" ref="EV48:EV56" si="188">IF(EP48="","",IF(EP48=$E$54,$D$54,IF(EP48=$E$55,$D$55,IF(EP48=$E$56,$D$56,""))))</f>
        <v/>
      </c>
      <c r="EW48" s="51"/>
      <c r="EX48" s="49" t="str">
        <f t="shared" si="139"/>
        <v/>
      </c>
      <c r="EY48" s="91">
        <f t="shared" si="140"/>
        <v>0</v>
      </c>
      <c r="EZ48" s="91">
        <f t="shared" si="141"/>
        <v>0</v>
      </c>
      <c r="FA48" s="91"/>
      <c r="FB48" s="48">
        <f>IF(OR(EX48="",EX48=0),0,MAX(EY48:EZ48:FA48))</f>
        <v>0</v>
      </c>
      <c r="FC48" s="115" t="str">
        <f t="shared" ref="FC48:FC56" si="189">IF(EX48="","",IF(EX48=$E$47,$D$47,IF(EX48=$E$48,$D$48,IF(EX48=$E$49,$D$49,IF(EX48=$E$50,$D$50,IF(EX48=$E$51,$D$51,IF(EX48=$E$52,$D$52,IF(EX48=$E$53,$D$53,""))))))))</f>
        <v/>
      </c>
      <c r="FD48" s="51" t="str">
        <f t="shared" ref="FD48:FD56" si="190">IF(EX48="","",IF(EX48=$E$54,$D$54,IF(EX48=$E$55,$D$55,IF(EX48=$E$56,$D$56,""))))</f>
        <v/>
      </c>
      <c r="FE48" s="51"/>
      <c r="FF48" s="49" t="str">
        <f t="shared" si="142"/>
        <v/>
      </c>
      <c r="FG48" s="91">
        <f t="shared" si="143"/>
        <v>0</v>
      </c>
      <c r="FH48" s="91">
        <f t="shared" si="144"/>
        <v>0</v>
      </c>
      <c r="FI48" s="91"/>
      <c r="FJ48" s="48">
        <f>IF(OR(FF48="",FF48=0),0,MAX(FG48:FH48:FI48))</f>
        <v>0</v>
      </c>
      <c r="FK48" s="115" t="str">
        <f t="shared" ref="FK48:FK56" si="191">IF(FF48="","",IF(FF48=$E$47,$D$47,IF(FF48=$E$48,$D$48,IF(FF48=$E$49,$D$49,IF(FF48=$E$50,$D$50,IF(FF48=$E$51,$D$51,IF(FF48=$E$52,$D$52,IF(FF48=$E$53,$D$53,""))))))))</f>
        <v/>
      </c>
      <c r="FL48" s="51" t="str">
        <f t="shared" ref="FL48:FL56" si="192">IF(FF48="","",IF(FF48=$E$54,$D$54,IF(FF48=$E$55,$D$55,IF(FF48=$E$56,$D$56,""))))</f>
        <v/>
      </c>
      <c r="FM48" s="51"/>
      <c r="FN48" s="49" t="str">
        <f t="shared" si="145"/>
        <v/>
      </c>
      <c r="FO48" s="91">
        <f t="shared" si="146"/>
        <v>0</v>
      </c>
      <c r="FP48" s="91">
        <f t="shared" si="147"/>
        <v>0</v>
      </c>
      <c r="FQ48" s="91"/>
      <c r="FR48" s="48">
        <f>IF(OR(FN48="",FN48=0),0,MAX(FO48:FP48:FQ48))</f>
        <v>0</v>
      </c>
      <c r="FS48" s="115" t="str">
        <f t="shared" ref="FS48:FS56" si="193">IF(FN48="","",IF(FN48=$E$47,$D$47,IF(FN48=$E$48,$D$48,IF(FN48=$E$49,$D$49,IF(FN48=$E$50,$D$50,IF(FN48=$E$51,$D$51,IF(FN48=$E$52,$D$52,IF(FN48=$E$53,$D$53,""))))))))</f>
        <v/>
      </c>
      <c r="FT48" s="51" t="str">
        <f t="shared" ref="FT48:FT56" si="194">IF(FN48="","",IF(FN48=$E$54,$D$54,IF(FN48=$E$55,$D$55,IF(FN48=$E$56,$D$56,""))))</f>
        <v/>
      </c>
      <c r="FU48" s="51"/>
      <c r="FV48" s="49" t="str">
        <f t="shared" si="148"/>
        <v/>
      </c>
      <c r="FW48" s="91">
        <f t="shared" si="149"/>
        <v>0</v>
      </c>
      <c r="FX48" s="91">
        <f t="shared" si="150"/>
        <v>0</v>
      </c>
      <c r="FY48" s="91"/>
      <c r="FZ48" s="48">
        <f>IF(OR(FV48="",FV48=0),0,MAX(FW48:FX48:FY48))</f>
        <v>0</v>
      </c>
      <c r="GA48" s="115" t="str">
        <f t="shared" ref="GA48:GA56" si="195">IF(FV48="","",IF(FV48=$E$47,$D$47,IF(FV48=$E$48,$D$48,IF(FV48=$E$49,$D$49,IF(FV48=$E$50,$D$50,IF(FV48=$E$51,$D$51,IF(FV48=$E$52,$D$52,IF(FV48=$E$53,$D$53,""))))))))</f>
        <v/>
      </c>
      <c r="GB48" s="51" t="str">
        <f t="shared" ref="GB48:GB56" si="196">IF(FV48="","",IF(FV48=$E$54,$D$54,IF(FV48=$E$55,$D$55,IF(FV48=$E$56,$D$56,""))))</f>
        <v/>
      </c>
      <c r="GC48" s="51"/>
      <c r="GD48" s="49" t="str">
        <f t="shared" si="151"/>
        <v/>
      </c>
      <c r="GE48" s="91">
        <f t="shared" si="152"/>
        <v>0</v>
      </c>
      <c r="GF48" s="91">
        <f t="shared" si="153"/>
        <v>0</v>
      </c>
      <c r="GG48" s="91"/>
      <c r="GH48" s="48">
        <f>IF(OR(GD48="",GD48=0),0,MAX(GE48:GF48:GG48))</f>
        <v>0</v>
      </c>
    </row>
    <row r="49" spans="1:193" s="16" customFormat="1" ht="18" customHeight="1" thickTop="1" thickBot="1" x14ac:dyDescent="0.35">
      <c r="A49" s="902" t="str">
        <f t="shared" si="154"/>
        <v/>
      </c>
      <c r="B49" s="826" t="str">
        <f t="shared" si="155"/>
        <v/>
      </c>
      <c r="C49" s="843" t="str">
        <f>IF(B49="","",SUM(B$47:B49))</f>
        <v/>
      </c>
      <c r="D49" s="958"/>
      <c r="E49" s="959"/>
      <c r="F49" s="948" t="str">
        <f>IF($D49="","",IF($F$47="","",$F$47))</f>
        <v/>
      </c>
      <c r="G49" s="961"/>
      <c r="H49" s="961"/>
      <c r="I49" s="964" t="str">
        <f t="shared" si="105"/>
        <v/>
      </c>
      <c r="J49" s="964" t="str">
        <f t="shared" si="106"/>
        <v/>
      </c>
      <c r="K49" s="965">
        <f t="shared" si="107"/>
        <v>0</v>
      </c>
      <c r="L49" s="966">
        <f t="shared" si="108"/>
        <v>0</v>
      </c>
      <c r="M49" s="955"/>
      <c r="N49" s="956"/>
      <c r="O49" s="925"/>
      <c r="P49" s="927" t="str">
        <f>IF(M49="","",IF(O49="",ABS(M49)*(1+'Cálculo-Instalação Colectiva-MP'!$L$13),ABS(M49)+O49))</f>
        <v/>
      </c>
      <c r="Q49" s="928" t="str">
        <f t="shared" si="109"/>
        <v/>
      </c>
      <c r="R49" s="935" t="str">
        <f t="shared" si="110"/>
        <v/>
      </c>
      <c r="S49" s="111" t="str">
        <f t="shared" si="111"/>
        <v/>
      </c>
      <c r="T49" s="926"/>
      <c r="U49" s="610" t="str">
        <f t="shared" ref="U49:U54" si="197">IF(S49="","",IF(T49&lt;&gt;"",T49,S49))</f>
        <v/>
      </c>
      <c r="V49" s="936" t="str">
        <f>IF(OR(S49="",S49=0),"",IF($U49&gt;'Quadro 3'!$F$23,'Quadro 3'!$F$23,IF($U49&lt;'Quadro 3'!$F$10,'Quadro 3'!$F$10,MIN($W49,$X49))))</f>
        <v/>
      </c>
      <c r="W49" s="937" t="str">
        <f>IF(AND(AW49&lt;&gt;2,$U49&lt;='Quadro 3'!$F$10),'Quadro 3'!$F$10,IF($U49&lt;='Quadro 3'!$F$11,'Quadro 3'!$F$11,IF($U49&lt;='Quadro 3'!$F$12,'Quadro 3'!$F$12,IF($U49&lt;='Quadro 3'!$F$13,'Quadro 3'!$F$13,IF($U49&lt;='Quadro 3'!$F$14,'Quadro 3'!$F$14,IF($U49&lt;='Quadro 3'!$F$15,'Quadro 3'!$F$15,IF($U49&lt;='Quadro 3'!$F$16,'Quadro 3'!$F$16,"")))))))</f>
        <v/>
      </c>
      <c r="X49" s="938" t="str">
        <f>IF(OR(S49="",S49=0),"",IF($U49&lt;='Quadro 3'!$F$17,'Quadro 3'!$F$17,IF($U49&lt;='Quadro 3'!$F$18,'Quadro 3'!$F$18,IF($U49&lt;='Quadro 3'!$F$19,'Quadro 3'!$F$19,IF($U49&lt;='Quadro 3'!$F$20,'Quadro 3'!$F$20,IF($U49&lt;='Quadro 3'!$F$21,'Quadro 3'!$F$21,IF($U49&lt;='Quadro 3'!$F$22,'Quadro 3'!$F$22,IF($U49&lt;='Quadro 3'!$F$23,'Quadro 3'!$F$23,'Quadro 3'!$F$23))))))))</f>
        <v/>
      </c>
      <c r="Y49" s="936" t="str">
        <f>IF($V49="","",LOOKUP($V49,'Quadro 3'!$F$9:$F$23,'Quadro 3'!$G$9:$G$23))</f>
        <v/>
      </c>
      <c r="Z49" s="1129" t="str">
        <f>IF($V49="","",LOOKUP($V49,'Quadro 3'!$F$9:$F$23,'Quadro 3'!$D$9:$D$23))</f>
        <v/>
      </c>
      <c r="AA49" s="939" t="str">
        <f>IF($V49="","",LOOKUP($V49,'Quadro 3'!$F$9:$F$23,'Quadro 3'!$E$9:$E$23))</f>
        <v/>
      </c>
      <c r="AB49" s="929" t="str">
        <f t="shared" si="112"/>
        <v/>
      </c>
      <c r="AC49" s="930" t="str">
        <f t="shared" ref="AC49:AC56" si="198">IF(OR($D49="",$P49="",$V49="",AB49="",AB49=0),"",(AB49/$AY$12-$AY$13*ABS($P49)*$AY$10*($Q49^1.82/$V49^4.82))*$AY$12)</f>
        <v/>
      </c>
      <c r="AD49" s="942" t="str">
        <f t="shared" si="156"/>
        <v/>
      </c>
      <c r="AE49" s="1124" t="str">
        <f t="shared" si="157"/>
        <v/>
      </c>
      <c r="AF49" s="931" t="str">
        <f t="shared" si="113"/>
        <v/>
      </c>
      <c r="AG49" s="943" t="str">
        <f t="shared" si="158"/>
        <v/>
      </c>
      <c r="AH49" s="1153" t="str">
        <f t="shared" si="114"/>
        <v/>
      </c>
      <c r="AI49" s="1154"/>
      <c r="AJ49" s="940"/>
      <c r="AK49" s="942"/>
      <c r="AL49" s="933" t="str">
        <f t="shared" si="159"/>
        <v/>
      </c>
      <c r="AM49" s="1153" t="str">
        <f t="shared" si="115"/>
        <v/>
      </c>
      <c r="AN49" s="1154"/>
      <c r="AO49" s="17"/>
      <c r="AP49" s="909" t="str">
        <f t="shared" si="160"/>
        <v/>
      </c>
      <c r="AV49" s="1117">
        <f t="shared" si="161"/>
        <v>0</v>
      </c>
      <c r="AW49" s="906" t="str">
        <f>IF(OR('Cálculo-Instalação Colectiva-MP'!$I$5&lt;&gt;1,S49="",S49=0),"",IF(OR(AND(G49&lt;&gt;"",H49=""),AND(G49="",H49&lt;&gt;"")),1,2))</f>
        <v/>
      </c>
      <c r="AY49" s="241">
        <f t="shared" si="116"/>
        <v>0</v>
      </c>
      <c r="AZ49" s="263" t="str">
        <f t="shared" si="117"/>
        <v/>
      </c>
      <c r="BA49" s="263" t="str">
        <f t="shared" si="118"/>
        <v/>
      </c>
      <c r="BB49" s="263"/>
      <c r="BI49" s="350" t="str">
        <f t="shared" si="162"/>
        <v>0</v>
      </c>
      <c r="BJ49" s="350">
        <f t="shared" si="163"/>
        <v>0</v>
      </c>
      <c r="BM49" s="911" t="str">
        <f t="shared" si="164"/>
        <v/>
      </c>
      <c r="BV49" s="350" t="str">
        <f t="shared" si="165"/>
        <v/>
      </c>
      <c r="BW49" s="235" t="str">
        <f t="shared" si="166"/>
        <v/>
      </c>
      <c r="BX49" s="235" t="str">
        <f t="shared" si="167"/>
        <v/>
      </c>
      <c r="BY49" s="235" t="str">
        <f t="shared" si="168"/>
        <v/>
      </c>
      <c r="BZ49" s="235" t="str">
        <f t="shared" si="169"/>
        <v/>
      </c>
      <c r="CA49" s="235" t="str">
        <f t="shared" si="170"/>
        <v/>
      </c>
      <c r="CB49" s="235" t="str">
        <f t="shared" si="171"/>
        <v/>
      </c>
      <c r="CC49" s="235" t="str">
        <f t="shared" si="172"/>
        <v/>
      </c>
      <c r="CD49" s="235" t="str">
        <f t="shared" si="173"/>
        <v/>
      </c>
      <c r="CE49" s="235" t="str">
        <f t="shared" si="174"/>
        <v/>
      </c>
      <c r="CF49" s="235" t="str">
        <f t="shared" si="175"/>
        <v/>
      </c>
      <c r="CQ49" s="2">
        <v>3</v>
      </c>
      <c r="CV49" s="209" t="str">
        <f t="shared" ref="CV49:CV56" si="199">IF(OR(CX49="",CX49=0),"",IF(CX49=$CX$46,"Crítico",""))</f>
        <v/>
      </c>
      <c r="CW49" s="204" t="str">
        <f t="shared" ref="CW49:CW56" si="200">IF(CV49="","",1)</f>
        <v/>
      </c>
      <c r="CX49" s="43">
        <f t="shared" ref="CX49:CX56" si="201">DA49+DF49+DN49+DV49+ED49+EL49+ET49+FB49+FJ49+FR49+FZ49+GH49</f>
        <v>0</v>
      </c>
      <c r="CY49" s="163" t="str">
        <f t="shared" si="119"/>
        <v/>
      </c>
      <c r="CZ49" s="45" t="str">
        <f t="shared" si="120"/>
        <v/>
      </c>
      <c r="DA49" s="46">
        <f t="shared" si="121"/>
        <v>0</v>
      </c>
      <c r="DB49" s="47" t="str">
        <f t="shared" si="122"/>
        <v/>
      </c>
      <c r="DC49" s="91">
        <f t="shared" si="123"/>
        <v>0</v>
      </c>
      <c r="DD49" s="91">
        <f t="shared" si="124"/>
        <v>0</v>
      </c>
      <c r="DE49" s="91"/>
      <c r="DF49" s="48">
        <f>IF(OR(DB49="",DB49=0),0,MAX(DC49:DD49:DE49))</f>
        <v>0</v>
      </c>
      <c r="DG49" s="115" t="str">
        <f t="shared" si="176"/>
        <v/>
      </c>
      <c r="DH49" s="51" t="str">
        <f t="shared" si="177"/>
        <v/>
      </c>
      <c r="DI49" s="51"/>
      <c r="DJ49" s="49" t="str">
        <f t="shared" si="178"/>
        <v/>
      </c>
      <c r="DK49" s="91">
        <f t="shared" si="125"/>
        <v>0</v>
      </c>
      <c r="DL49" s="91">
        <f t="shared" si="126"/>
        <v>0</v>
      </c>
      <c r="DM49" s="91"/>
      <c r="DN49" s="48">
        <f>IF(OR(DJ49="",DJ49=0),0,MAX(DK49:DL49:DM49))</f>
        <v>0</v>
      </c>
      <c r="DO49" s="115" t="str">
        <f t="shared" si="179"/>
        <v/>
      </c>
      <c r="DP49" s="51" t="str">
        <f t="shared" si="180"/>
        <v/>
      </c>
      <c r="DQ49" s="51"/>
      <c r="DR49" s="49" t="str">
        <f t="shared" si="127"/>
        <v/>
      </c>
      <c r="DS49" s="91">
        <f t="shared" si="128"/>
        <v>0</v>
      </c>
      <c r="DT49" s="91">
        <f t="shared" si="129"/>
        <v>0</v>
      </c>
      <c r="DU49" s="91"/>
      <c r="DV49" s="48">
        <f>IF(OR(DR49="",DR49=0),0,MAX(DS49:DT49:DU49))</f>
        <v>0</v>
      </c>
      <c r="DW49" s="115" t="str">
        <f t="shared" si="181"/>
        <v/>
      </c>
      <c r="DX49" s="51" t="str">
        <f t="shared" si="182"/>
        <v/>
      </c>
      <c r="DY49" s="51"/>
      <c r="DZ49" s="49" t="str">
        <f t="shared" si="130"/>
        <v/>
      </c>
      <c r="EA49" s="91">
        <f t="shared" si="131"/>
        <v>0</v>
      </c>
      <c r="EB49" s="91">
        <f t="shared" si="132"/>
        <v>0</v>
      </c>
      <c r="EC49" s="91"/>
      <c r="ED49" s="48">
        <f>IF(OR(DZ49="",DZ49=0),0,MAX(EA49:EB49:EC49))</f>
        <v>0</v>
      </c>
      <c r="EE49" s="115" t="str">
        <f t="shared" si="183"/>
        <v/>
      </c>
      <c r="EF49" s="51" t="str">
        <f t="shared" si="184"/>
        <v/>
      </c>
      <c r="EG49" s="51"/>
      <c r="EH49" s="49" t="str">
        <f t="shared" si="133"/>
        <v/>
      </c>
      <c r="EI49" s="91">
        <f t="shared" si="134"/>
        <v>0</v>
      </c>
      <c r="EJ49" s="91">
        <f t="shared" si="135"/>
        <v>0</v>
      </c>
      <c r="EK49" s="91"/>
      <c r="EL49" s="48">
        <f>IF(OR(EH49="",EH49=0),0,MAX(EI49:EJ49:EK49))</f>
        <v>0</v>
      </c>
      <c r="EM49" s="115" t="str">
        <f t="shared" si="185"/>
        <v/>
      </c>
      <c r="EN49" s="51" t="str">
        <f t="shared" si="186"/>
        <v/>
      </c>
      <c r="EO49" s="51"/>
      <c r="EP49" s="49" t="str">
        <f t="shared" si="136"/>
        <v/>
      </c>
      <c r="EQ49" s="91">
        <f t="shared" si="137"/>
        <v>0</v>
      </c>
      <c r="ER49" s="91">
        <f t="shared" si="138"/>
        <v>0</v>
      </c>
      <c r="ES49" s="91"/>
      <c r="ET49" s="48">
        <f>IF(OR(EP49="",EP49=0),0,MAX(EQ49:ER49:ES49))</f>
        <v>0</v>
      </c>
      <c r="EU49" s="115" t="str">
        <f t="shared" si="187"/>
        <v/>
      </c>
      <c r="EV49" s="51" t="str">
        <f t="shared" si="188"/>
        <v/>
      </c>
      <c r="EW49" s="51"/>
      <c r="EX49" s="49" t="str">
        <f t="shared" si="139"/>
        <v/>
      </c>
      <c r="EY49" s="91">
        <f t="shared" si="140"/>
        <v>0</v>
      </c>
      <c r="EZ49" s="91">
        <f t="shared" si="141"/>
        <v>0</v>
      </c>
      <c r="FA49" s="91"/>
      <c r="FB49" s="48">
        <f>IF(OR(EX49="",EX49=0),0,MAX(EY49:EZ49:FA49))</f>
        <v>0</v>
      </c>
      <c r="FC49" s="115" t="str">
        <f t="shared" si="189"/>
        <v/>
      </c>
      <c r="FD49" s="51" t="str">
        <f t="shared" si="190"/>
        <v/>
      </c>
      <c r="FE49" s="51"/>
      <c r="FF49" s="49" t="str">
        <f t="shared" si="142"/>
        <v/>
      </c>
      <c r="FG49" s="91">
        <f t="shared" si="143"/>
        <v>0</v>
      </c>
      <c r="FH49" s="91">
        <f t="shared" si="144"/>
        <v>0</v>
      </c>
      <c r="FI49" s="91"/>
      <c r="FJ49" s="48">
        <f>IF(OR(FF49="",FF49=0),0,MAX(FG49:FH49:FI49))</f>
        <v>0</v>
      </c>
      <c r="FK49" s="115" t="str">
        <f t="shared" si="191"/>
        <v/>
      </c>
      <c r="FL49" s="51" t="str">
        <f t="shared" si="192"/>
        <v/>
      </c>
      <c r="FM49" s="51"/>
      <c r="FN49" s="49" t="str">
        <f t="shared" si="145"/>
        <v/>
      </c>
      <c r="FO49" s="91">
        <f t="shared" si="146"/>
        <v>0</v>
      </c>
      <c r="FP49" s="91">
        <f t="shared" si="147"/>
        <v>0</v>
      </c>
      <c r="FQ49" s="91"/>
      <c r="FR49" s="48">
        <f>IF(OR(FN49="",FN49=0),0,MAX(FO49:FP49:FQ49))</f>
        <v>0</v>
      </c>
      <c r="FS49" s="115" t="str">
        <f t="shared" si="193"/>
        <v/>
      </c>
      <c r="FT49" s="51" t="str">
        <f t="shared" si="194"/>
        <v/>
      </c>
      <c r="FU49" s="51"/>
      <c r="FV49" s="49" t="str">
        <f t="shared" si="148"/>
        <v/>
      </c>
      <c r="FW49" s="91">
        <f t="shared" si="149"/>
        <v>0</v>
      </c>
      <c r="FX49" s="91">
        <f t="shared" si="150"/>
        <v>0</v>
      </c>
      <c r="FY49" s="91"/>
      <c r="FZ49" s="48">
        <f>IF(OR(FV49="",FV49=0),0,MAX(FW49:FX49:FY49))</f>
        <v>0</v>
      </c>
      <c r="GA49" s="115" t="str">
        <f t="shared" si="195"/>
        <v/>
      </c>
      <c r="GB49" s="51" t="str">
        <f t="shared" si="196"/>
        <v/>
      </c>
      <c r="GC49" s="51"/>
      <c r="GD49" s="49" t="str">
        <f t="shared" si="151"/>
        <v/>
      </c>
      <c r="GE49" s="91">
        <f t="shared" si="152"/>
        <v>0</v>
      </c>
      <c r="GF49" s="91">
        <f t="shared" si="153"/>
        <v>0</v>
      </c>
      <c r="GG49" s="91"/>
      <c r="GH49" s="48">
        <f>IF(OR(GD49="",GD49=0),0,MAX(GE49:GF49:GG49))</f>
        <v>0</v>
      </c>
    </row>
    <row r="50" spans="1:193" s="16" customFormat="1" ht="18" customHeight="1" thickTop="1" thickBot="1" x14ac:dyDescent="0.35">
      <c r="A50" s="902" t="str">
        <f t="shared" si="154"/>
        <v/>
      </c>
      <c r="B50" s="826" t="str">
        <f t="shared" si="155"/>
        <v/>
      </c>
      <c r="C50" s="843" t="str">
        <f>IF(B50="","",SUM(B$47:B50))</f>
        <v/>
      </c>
      <c r="D50" s="958"/>
      <c r="E50" s="959"/>
      <c r="F50" s="948" t="str">
        <f t="shared" ref="F50:F56" si="202">IF($D50="","",IF($F$47="","",$F$47))</f>
        <v/>
      </c>
      <c r="G50" s="961"/>
      <c r="H50" s="961"/>
      <c r="I50" s="964" t="str">
        <f t="shared" si="105"/>
        <v/>
      </c>
      <c r="J50" s="964" t="str">
        <f t="shared" si="106"/>
        <v/>
      </c>
      <c r="K50" s="965">
        <f t="shared" si="107"/>
        <v>0</v>
      </c>
      <c r="L50" s="966">
        <f t="shared" si="108"/>
        <v>0</v>
      </c>
      <c r="M50" s="955"/>
      <c r="N50" s="956"/>
      <c r="O50" s="925"/>
      <c r="P50" s="927" t="str">
        <f>IF(M50="","",IF(O50="",ABS(M50)*(1+'Cálculo-Instalação Colectiva-MP'!$L$13),ABS(M50)+O50))</f>
        <v/>
      </c>
      <c r="Q50" s="928" t="str">
        <f t="shared" si="109"/>
        <v/>
      </c>
      <c r="R50" s="935" t="str">
        <f t="shared" si="110"/>
        <v/>
      </c>
      <c r="S50" s="111" t="str">
        <f t="shared" si="111"/>
        <v/>
      </c>
      <c r="T50" s="926"/>
      <c r="U50" s="610" t="str">
        <f t="shared" si="197"/>
        <v/>
      </c>
      <c r="V50" s="936" t="str">
        <f>IF(OR(S50="",S50=0),"",IF($U50&gt;'Quadro 3'!$F$23,'Quadro 3'!$F$23,IF($U50&lt;'Quadro 3'!$F$10,'Quadro 3'!$F$10,MIN($W50,$X50))))</f>
        <v/>
      </c>
      <c r="W50" s="937" t="str">
        <f>IF(AND(AW50&lt;&gt;2,$U50&lt;='Quadro 3'!$F$10),'Quadro 3'!$F$10,IF($U50&lt;='Quadro 3'!$F$11,'Quadro 3'!$F$11,IF($U50&lt;='Quadro 3'!$F$12,'Quadro 3'!$F$12,IF($U50&lt;='Quadro 3'!$F$13,'Quadro 3'!$F$13,IF($U50&lt;='Quadro 3'!$F$14,'Quadro 3'!$F$14,IF($U50&lt;='Quadro 3'!$F$15,'Quadro 3'!$F$15,IF($U50&lt;='Quadro 3'!$F$16,'Quadro 3'!$F$16,"")))))))</f>
        <v/>
      </c>
      <c r="X50" s="938" t="str">
        <f>IF(OR(S50="",S50=0),"",IF($U50&lt;='Quadro 3'!$F$17,'Quadro 3'!$F$17,IF($U50&lt;='Quadro 3'!$F$18,'Quadro 3'!$F$18,IF($U50&lt;='Quadro 3'!$F$19,'Quadro 3'!$F$19,IF($U50&lt;='Quadro 3'!$F$20,'Quadro 3'!$F$20,IF($U50&lt;='Quadro 3'!$F$21,'Quadro 3'!$F$21,IF($U50&lt;='Quadro 3'!$F$22,'Quadro 3'!$F$22,IF($U50&lt;='Quadro 3'!$F$23,'Quadro 3'!$F$23,'Quadro 3'!$F$23))))))))</f>
        <v/>
      </c>
      <c r="Y50" s="936" t="str">
        <f>IF($V50="","",LOOKUP($V50,'Quadro 3'!$F$9:$F$23,'Quadro 3'!$G$9:$G$23))</f>
        <v/>
      </c>
      <c r="Z50" s="1129" t="str">
        <f>IF($V50="","",LOOKUP($V50,'Quadro 3'!$F$9:$F$23,'Quadro 3'!$D$9:$D$23))</f>
        <v/>
      </c>
      <c r="AA50" s="939" t="str">
        <f>IF($V50="","",LOOKUP($V50,'Quadro 3'!$F$9:$F$23,'Quadro 3'!$E$9:$E$23))</f>
        <v/>
      </c>
      <c r="AB50" s="929" t="str">
        <f t="shared" si="112"/>
        <v/>
      </c>
      <c r="AC50" s="930" t="str">
        <f t="shared" si="198"/>
        <v/>
      </c>
      <c r="AD50" s="942" t="str">
        <f t="shared" si="156"/>
        <v/>
      </c>
      <c r="AE50" s="1124" t="str">
        <f t="shared" si="157"/>
        <v/>
      </c>
      <c r="AF50" s="931" t="str">
        <f t="shared" si="113"/>
        <v/>
      </c>
      <c r="AG50" s="943" t="str">
        <f t="shared" si="158"/>
        <v/>
      </c>
      <c r="AH50" s="1153" t="str">
        <f t="shared" si="114"/>
        <v/>
      </c>
      <c r="AI50" s="1154"/>
      <c r="AJ50" s="940"/>
      <c r="AK50" s="942"/>
      <c r="AL50" s="933" t="str">
        <f t="shared" si="159"/>
        <v/>
      </c>
      <c r="AM50" s="1153" t="str">
        <f t="shared" si="115"/>
        <v/>
      </c>
      <c r="AN50" s="1154"/>
      <c r="AO50" s="17"/>
      <c r="AP50" s="909" t="str">
        <f t="shared" si="160"/>
        <v/>
      </c>
      <c r="AV50" s="1117">
        <f t="shared" si="161"/>
        <v>0</v>
      </c>
      <c r="AW50" s="906" t="str">
        <f>IF(OR('Cálculo-Instalação Colectiva-MP'!$I$5&lt;&gt;1,S50="",S50=0),"",IF(OR(AND(G50&lt;&gt;"",H50=""),AND(G50="",H50&lt;&gt;"")),1,2))</f>
        <v/>
      </c>
      <c r="AY50" s="241">
        <f t="shared" si="116"/>
        <v>0</v>
      </c>
      <c r="AZ50" s="263" t="str">
        <f t="shared" si="117"/>
        <v/>
      </c>
      <c r="BA50" s="263" t="str">
        <f t="shared" si="118"/>
        <v/>
      </c>
      <c r="BB50" s="263"/>
      <c r="BI50" s="350" t="str">
        <f t="shared" si="162"/>
        <v>0</v>
      </c>
      <c r="BJ50" s="350">
        <f t="shared" si="163"/>
        <v>0</v>
      </c>
      <c r="BM50" s="911" t="str">
        <f t="shared" si="164"/>
        <v/>
      </c>
      <c r="BV50" s="350" t="str">
        <f t="shared" si="165"/>
        <v/>
      </c>
      <c r="BW50" s="235" t="str">
        <f t="shared" si="166"/>
        <v/>
      </c>
      <c r="BX50" s="235" t="str">
        <f t="shared" si="167"/>
        <v/>
      </c>
      <c r="BY50" s="235" t="str">
        <f t="shared" si="168"/>
        <v/>
      </c>
      <c r="BZ50" s="235" t="str">
        <f t="shared" si="169"/>
        <v/>
      </c>
      <c r="CA50" s="235" t="str">
        <f t="shared" si="170"/>
        <v/>
      </c>
      <c r="CB50" s="235" t="str">
        <f t="shared" si="171"/>
        <v/>
      </c>
      <c r="CC50" s="235" t="str">
        <f t="shared" si="172"/>
        <v/>
      </c>
      <c r="CD50" s="235" t="str">
        <f t="shared" si="173"/>
        <v/>
      </c>
      <c r="CE50" s="235" t="str">
        <f t="shared" si="174"/>
        <v/>
      </c>
      <c r="CF50" s="235" t="str">
        <f t="shared" si="175"/>
        <v/>
      </c>
      <c r="CQ50" s="2">
        <v>4</v>
      </c>
      <c r="CV50" s="209" t="str">
        <f t="shared" si="199"/>
        <v/>
      </c>
      <c r="CW50" s="204" t="str">
        <f t="shared" si="200"/>
        <v/>
      </c>
      <c r="CX50" s="43">
        <f t="shared" si="201"/>
        <v>0</v>
      </c>
      <c r="CY50" s="163" t="str">
        <f t="shared" si="119"/>
        <v/>
      </c>
      <c r="CZ50" s="45" t="str">
        <f t="shared" si="120"/>
        <v/>
      </c>
      <c r="DA50" s="46">
        <f t="shared" si="121"/>
        <v>0</v>
      </c>
      <c r="DB50" s="47" t="str">
        <f t="shared" si="122"/>
        <v/>
      </c>
      <c r="DC50" s="91">
        <f t="shared" si="123"/>
        <v>0</v>
      </c>
      <c r="DD50" s="91">
        <f t="shared" si="124"/>
        <v>0</v>
      </c>
      <c r="DE50" s="91"/>
      <c r="DF50" s="48">
        <f>IF(OR(DB50="",DB50=0),0,MAX(DC50:DD50:DE50))</f>
        <v>0</v>
      </c>
      <c r="DG50" s="115" t="str">
        <f t="shared" si="176"/>
        <v/>
      </c>
      <c r="DH50" s="51" t="str">
        <f t="shared" si="177"/>
        <v/>
      </c>
      <c r="DI50" s="51"/>
      <c r="DJ50" s="49" t="str">
        <f t="shared" si="178"/>
        <v/>
      </c>
      <c r="DK50" s="91">
        <f t="shared" si="125"/>
        <v>0</v>
      </c>
      <c r="DL50" s="91">
        <f t="shared" si="126"/>
        <v>0</v>
      </c>
      <c r="DM50" s="91"/>
      <c r="DN50" s="48">
        <f>IF(OR(DJ50="",DJ50=0),0,MAX(DK50:DL50:DM50))</f>
        <v>0</v>
      </c>
      <c r="DO50" s="115" t="str">
        <f t="shared" si="179"/>
        <v/>
      </c>
      <c r="DP50" s="51" t="str">
        <f t="shared" si="180"/>
        <v/>
      </c>
      <c r="DQ50" s="51"/>
      <c r="DR50" s="49" t="str">
        <f t="shared" si="127"/>
        <v/>
      </c>
      <c r="DS50" s="91">
        <f t="shared" si="128"/>
        <v>0</v>
      </c>
      <c r="DT50" s="91">
        <f t="shared" si="129"/>
        <v>0</v>
      </c>
      <c r="DU50" s="91"/>
      <c r="DV50" s="48">
        <f>IF(OR(DR50="",DR50=0),0,MAX(DS50:DT50:DU50))</f>
        <v>0</v>
      </c>
      <c r="DW50" s="115" t="str">
        <f t="shared" si="181"/>
        <v/>
      </c>
      <c r="DX50" s="51" t="str">
        <f t="shared" si="182"/>
        <v/>
      </c>
      <c r="DY50" s="51"/>
      <c r="DZ50" s="49" t="str">
        <f t="shared" si="130"/>
        <v/>
      </c>
      <c r="EA50" s="91">
        <f t="shared" si="131"/>
        <v>0</v>
      </c>
      <c r="EB50" s="91">
        <f t="shared" si="132"/>
        <v>0</v>
      </c>
      <c r="EC50" s="91"/>
      <c r="ED50" s="48">
        <f>IF(OR(DZ50="",DZ50=0),0,MAX(EA50:EB50:EC50))</f>
        <v>0</v>
      </c>
      <c r="EE50" s="115" t="str">
        <f t="shared" si="183"/>
        <v/>
      </c>
      <c r="EF50" s="51" t="str">
        <f t="shared" si="184"/>
        <v/>
      </c>
      <c r="EG50" s="51"/>
      <c r="EH50" s="49" t="str">
        <f t="shared" si="133"/>
        <v/>
      </c>
      <c r="EI50" s="91">
        <f t="shared" si="134"/>
        <v>0</v>
      </c>
      <c r="EJ50" s="91">
        <f t="shared" si="135"/>
        <v>0</v>
      </c>
      <c r="EK50" s="91"/>
      <c r="EL50" s="48">
        <f>IF(OR(EH50="",EH50=0),0,MAX(EI50:EJ50:EK50))</f>
        <v>0</v>
      </c>
      <c r="EM50" s="115" t="str">
        <f t="shared" si="185"/>
        <v/>
      </c>
      <c r="EN50" s="51" t="str">
        <f t="shared" si="186"/>
        <v/>
      </c>
      <c r="EO50" s="51"/>
      <c r="EP50" s="49" t="str">
        <f t="shared" si="136"/>
        <v/>
      </c>
      <c r="EQ50" s="91">
        <f t="shared" si="137"/>
        <v>0</v>
      </c>
      <c r="ER50" s="91">
        <f t="shared" si="138"/>
        <v>0</v>
      </c>
      <c r="ES50" s="91"/>
      <c r="ET50" s="48">
        <f>IF(OR(EP50="",EP50=0),0,MAX(EQ50:ER50:ES50))</f>
        <v>0</v>
      </c>
      <c r="EU50" s="115" t="str">
        <f t="shared" si="187"/>
        <v/>
      </c>
      <c r="EV50" s="51" t="str">
        <f t="shared" si="188"/>
        <v/>
      </c>
      <c r="EW50" s="51"/>
      <c r="EX50" s="49" t="str">
        <f t="shared" si="139"/>
        <v/>
      </c>
      <c r="EY50" s="91">
        <f t="shared" si="140"/>
        <v>0</v>
      </c>
      <c r="EZ50" s="91">
        <f t="shared" si="141"/>
        <v>0</v>
      </c>
      <c r="FA50" s="91"/>
      <c r="FB50" s="48">
        <f>IF(OR(EX50="",EX50=0),0,MAX(EY50:EZ50:FA50))</f>
        <v>0</v>
      </c>
      <c r="FC50" s="115" t="str">
        <f t="shared" si="189"/>
        <v/>
      </c>
      <c r="FD50" s="51" t="str">
        <f t="shared" si="190"/>
        <v/>
      </c>
      <c r="FE50" s="51"/>
      <c r="FF50" s="49" t="str">
        <f t="shared" si="142"/>
        <v/>
      </c>
      <c r="FG50" s="91">
        <f t="shared" si="143"/>
        <v>0</v>
      </c>
      <c r="FH50" s="91">
        <f t="shared" si="144"/>
        <v>0</v>
      </c>
      <c r="FI50" s="91"/>
      <c r="FJ50" s="48">
        <f>IF(OR(FF50="",FF50=0),0,MAX(FG50:FH50:FI50))</f>
        <v>0</v>
      </c>
      <c r="FK50" s="115" t="str">
        <f t="shared" si="191"/>
        <v/>
      </c>
      <c r="FL50" s="51" t="str">
        <f t="shared" si="192"/>
        <v/>
      </c>
      <c r="FM50" s="51"/>
      <c r="FN50" s="49" t="str">
        <f t="shared" si="145"/>
        <v/>
      </c>
      <c r="FO50" s="91">
        <f t="shared" si="146"/>
        <v>0</v>
      </c>
      <c r="FP50" s="91">
        <f t="shared" si="147"/>
        <v>0</v>
      </c>
      <c r="FQ50" s="91"/>
      <c r="FR50" s="48">
        <f>IF(OR(FN50="",FN50=0),0,MAX(FO50:FP50:FQ50))</f>
        <v>0</v>
      </c>
      <c r="FS50" s="115" t="str">
        <f t="shared" si="193"/>
        <v/>
      </c>
      <c r="FT50" s="51" t="str">
        <f t="shared" si="194"/>
        <v/>
      </c>
      <c r="FU50" s="51"/>
      <c r="FV50" s="49" t="str">
        <f t="shared" si="148"/>
        <v/>
      </c>
      <c r="FW50" s="91">
        <f t="shared" si="149"/>
        <v>0</v>
      </c>
      <c r="FX50" s="91">
        <f t="shared" si="150"/>
        <v>0</v>
      </c>
      <c r="FY50" s="91"/>
      <c r="FZ50" s="48">
        <f>IF(OR(FV50="",FV50=0),0,MAX(FW50:FX50:FY50))</f>
        <v>0</v>
      </c>
      <c r="GA50" s="115" t="str">
        <f t="shared" si="195"/>
        <v/>
      </c>
      <c r="GB50" s="51" t="str">
        <f t="shared" si="196"/>
        <v/>
      </c>
      <c r="GC50" s="51"/>
      <c r="GD50" s="49" t="str">
        <f t="shared" si="151"/>
        <v/>
      </c>
      <c r="GE50" s="91">
        <f t="shared" si="152"/>
        <v>0</v>
      </c>
      <c r="GF50" s="91">
        <f t="shared" si="153"/>
        <v>0</v>
      </c>
      <c r="GG50" s="91"/>
      <c r="GH50" s="48">
        <f>IF(OR(GD50="",GD50=0),0,MAX(GE50:GF50:GG50))</f>
        <v>0</v>
      </c>
    </row>
    <row r="51" spans="1:193" s="16" customFormat="1" ht="18" customHeight="1" thickTop="1" thickBot="1" x14ac:dyDescent="0.35">
      <c r="A51" s="902" t="str">
        <f t="shared" si="154"/>
        <v/>
      </c>
      <c r="B51" s="826" t="str">
        <f t="shared" si="155"/>
        <v/>
      </c>
      <c r="C51" s="843" t="str">
        <f>IF(B51="","",SUM(B$47:B51))</f>
        <v/>
      </c>
      <c r="D51" s="958"/>
      <c r="E51" s="959"/>
      <c r="F51" s="948" t="str">
        <f t="shared" si="202"/>
        <v/>
      </c>
      <c r="G51" s="961"/>
      <c r="H51" s="961"/>
      <c r="I51" s="964" t="str">
        <f t="shared" si="105"/>
        <v/>
      </c>
      <c r="J51" s="964" t="str">
        <f t="shared" si="106"/>
        <v/>
      </c>
      <c r="K51" s="965">
        <f t="shared" si="107"/>
        <v>0</v>
      </c>
      <c r="L51" s="966">
        <f t="shared" si="108"/>
        <v>0</v>
      </c>
      <c r="M51" s="955"/>
      <c r="N51" s="956"/>
      <c r="O51" s="950"/>
      <c r="P51" s="927" t="str">
        <f>IF(M51="","",IF(O51="",ABS(M51)*(1+'Cálculo-Instalação Colectiva-MP'!$L$13),ABS(M51)+O51))</f>
        <v/>
      </c>
      <c r="Q51" s="928" t="str">
        <f t="shared" si="109"/>
        <v/>
      </c>
      <c r="R51" s="935" t="str">
        <f t="shared" si="110"/>
        <v/>
      </c>
      <c r="S51" s="111" t="str">
        <f t="shared" si="111"/>
        <v/>
      </c>
      <c r="T51" s="926"/>
      <c r="U51" s="610" t="str">
        <f t="shared" si="197"/>
        <v/>
      </c>
      <c r="V51" s="936" t="str">
        <f>IF(OR(S51="",S51=0),"",IF($U51&gt;'Quadro 3'!$F$23,'Quadro 3'!$F$23,IF($U51&lt;'Quadro 3'!$F$10,'Quadro 3'!$F$10,MIN($W51,$X51))))</f>
        <v/>
      </c>
      <c r="W51" s="937" t="str">
        <f>IF(AND(AW51&lt;&gt;2,$U51&lt;='Quadro 3'!$F$10),'Quadro 3'!$F$10,IF($U51&lt;='Quadro 3'!$F$11,'Quadro 3'!$F$11,IF($U51&lt;='Quadro 3'!$F$12,'Quadro 3'!$F$12,IF($U51&lt;='Quadro 3'!$F$13,'Quadro 3'!$F$13,IF($U51&lt;='Quadro 3'!$F$14,'Quadro 3'!$F$14,IF($U51&lt;='Quadro 3'!$F$15,'Quadro 3'!$F$15,IF($U51&lt;='Quadro 3'!$F$16,'Quadro 3'!$F$16,"")))))))</f>
        <v/>
      </c>
      <c r="X51" s="938" t="str">
        <f>IF(OR(S51="",S51=0),"",IF($U51&lt;='Quadro 3'!$F$17,'Quadro 3'!$F$17,IF($U51&lt;='Quadro 3'!$F$18,'Quadro 3'!$F$18,IF($U51&lt;='Quadro 3'!$F$19,'Quadro 3'!$F$19,IF($U51&lt;='Quadro 3'!$F$20,'Quadro 3'!$F$20,IF($U51&lt;='Quadro 3'!$F$21,'Quadro 3'!$F$21,IF($U51&lt;='Quadro 3'!$F$22,'Quadro 3'!$F$22,IF($U51&lt;='Quadro 3'!$F$23,'Quadro 3'!$F$23,'Quadro 3'!$F$23))))))))</f>
        <v/>
      </c>
      <c r="Y51" s="936" t="str">
        <f>IF($V51="","",LOOKUP($V51,'Quadro 3'!$F$9:$F$23,'Quadro 3'!$G$9:$G$23))</f>
        <v/>
      </c>
      <c r="Z51" s="1129" t="str">
        <f>IF($V51="","",LOOKUP($V51,'Quadro 3'!$F$9:$F$23,'Quadro 3'!$D$9:$D$23))</f>
        <v/>
      </c>
      <c r="AA51" s="939" t="str">
        <f>IF($V51="","",LOOKUP($V51,'Quadro 3'!$F$9:$F$23,'Quadro 3'!$E$9:$E$23))</f>
        <v/>
      </c>
      <c r="AB51" s="929" t="str">
        <f t="shared" si="112"/>
        <v/>
      </c>
      <c r="AC51" s="930" t="str">
        <f t="shared" si="198"/>
        <v/>
      </c>
      <c r="AD51" s="942" t="str">
        <f t="shared" si="156"/>
        <v/>
      </c>
      <c r="AE51" s="1124" t="str">
        <f t="shared" si="157"/>
        <v/>
      </c>
      <c r="AF51" s="931" t="str">
        <f t="shared" si="113"/>
        <v/>
      </c>
      <c r="AG51" s="943" t="str">
        <f t="shared" si="158"/>
        <v/>
      </c>
      <c r="AH51" s="1153" t="str">
        <f t="shared" si="114"/>
        <v/>
      </c>
      <c r="AI51" s="1154"/>
      <c r="AJ51" s="940"/>
      <c r="AK51" s="942"/>
      <c r="AL51" s="933" t="str">
        <f t="shared" si="159"/>
        <v/>
      </c>
      <c r="AM51" s="1153" t="str">
        <f t="shared" si="115"/>
        <v/>
      </c>
      <c r="AN51" s="1154"/>
      <c r="AO51" s="17"/>
      <c r="AP51" s="909" t="str">
        <f t="shared" si="160"/>
        <v/>
      </c>
      <c r="AV51" s="1117">
        <f t="shared" si="161"/>
        <v>0</v>
      </c>
      <c r="AW51" s="906" t="str">
        <f>IF(OR('Cálculo-Instalação Colectiva-MP'!$I$5&lt;&gt;1,S51="",S51=0),"",IF(OR(AND(G51&lt;&gt;"",H51=""),AND(G51="",H51&lt;&gt;"")),1,2))</f>
        <v/>
      </c>
      <c r="AY51" s="241">
        <f t="shared" si="116"/>
        <v>0</v>
      </c>
      <c r="AZ51" s="263" t="str">
        <f t="shared" si="117"/>
        <v/>
      </c>
      <c r="BA51" s="263" t="str">
        <f t="shared" si="118"/>
        <v/>
      </c>
      <c r="BB51" s="263"/>
      <c r="BI51" s="350" t="str">
        <f t="shared" si="162"/>
        <v>0</v>
      </c>
      <c r="BJ51" s="350">
        <f t="shared" si="163"/>
        <v>0</v>
      </c>
      <c r="BM51" s="911" t="str">
        <f t="shared" si="164"/>
        <v/>
      </c>
      <c r="BV51" s="350" t="str">
        <f t="shared" si="165"/>
        <v/>
      </c>
      <c r="BW51" s="235" t="str">
        <f t="shared" si="166"/>
        <v/>
      </c>
      <c r="BX51" s="235" t="str">
        <f t="shared" si="167"/>
        <v/>
      </c>
      <c r="BY51" s="235" t="str">
        <f t="shared" si="168"/>
        <v/>
      </c>
      <c r="BZ51" s="235" t="str">
        <f t="shared" si="169"/>
        <v/>
      </c>
      <c r="CA51" s="235" t="str">
        <f t="shared" si="170"/>
        <v/>
      </c>
      <c r="CB51" s="235" t="str">
        <f t="shared" si="171"/>
        <v/>
      </c>
      <c r="CC51" s="235" t="str">
        <f t="shared" si="172"/>
        <v/>
      </c>
      <c r="CD51" s="235" t="str">
        <f t="shared" si="173"/>
        <v/>
      </c>
      <c r="CE51" s="235" t="str">
        <f t="shared" si="174"/>
        <v/>
      </c>
      <c r="CF51" s="235" t="str">
        <f t="shared" si="175"/>
        <v/>
      </c>
      <c r="CQ51" s="2">
        <v>5</v>
      </c>
      <c r="CV51" s="209" t="str">
        <f t="shared" si="199"/>
        <v/>
      </c>
      <c r="CW51" s="204" t="str">
        <f t="shared" si="200"/>
        <v/>
      </c>
      <c r="CX51" s="43">
        <f t="shared" si="201"/>
        <v>0</v>
      </c>
      <c r="CY51" s="163" t="str">
        <f t="shared" si="119"/>
        <v/>
      </c>
      <c r="CZ51" s="45" t="str">
        <f t="shared" si="120"/>
        <v/>
      </c>
      <c r="DA51" s="46">
        <f t="shared" si="121"/>
        <v>0</v>
      </c>
      <c r="DB51" s="47" t="str">
        <f t="shared" si="122"/>
        <v/>
      </c>
      <c r="DC51" s="91">
        <f t="shared" si="123"/>
        <v>0</v>
      </c>
      <c r="DD51" s="91">
        <f t="shared" si="124"/>
        <v>0</v>
      </c>
      <c r="DE51" s="91"/>
      <c r="DF51" s="48">
        <f>IF(OR(DB51="",DB51=0),0,MAX(DC51:DD51:DE51))</f>
        <v>0</v>
      </c>
      <c r="DG51" s="115" t="str">
        <f t="shared" si="176"/>
        <v/>
      </c>
      <c r="DH51" s="51" t="str">
        <f t="shared" si="177"/>
        <v/>
      </c>
      <c r="DI51" s="51"/>
      <c r="DJ51" s="49" t="str">
        <f t="shared" si="178"/>
        <v/>
      </c>
      <c r="DK51" s="91">
        <f t="shared" si="125"/>
        <v>0</v>
      </c>
      <c r="DL51" s="91">
        <f t="shared" si="126"/>
        <v>0</v>
      </c>
      <c r="DM51" s="91"/>
      <c r="DN51" s="48">
        <f>IF(OR(DJ51="",DJ51=0),0,MAX(DK51:DL51:DM51))</f>
        <v>0</v>
      </c>
      <c r="DO51" s="115" t="str">
        <f t="shared" si="179"/>
        <v/>
      </c>
      <c r="DP51" s="51" t="str">
        <f t="shared" si="180"/>
        <v/>
      </c>
      <c r="DQ51" s="51"/>
      <c r="DR51" s="49" t="str">
        <f t="shared" si="127"/>
        <v/>
      </c>
      <c r="DS51" s="91">
        <f t="shared" si="128"/>
        <v>0</v>
      </c>
      <c r="DT51" s="91">
        <f t="shared" si="129"/>
        <v>0</v>
      </c>
      <c r="DU51" s="91"/>
      <c r="DV51" s="48">
        <f>IF(OR(DR51="",DR51=0),0,MAX(DS51:DT51:DU51))</f>
        <v>0</v>
      </c>
      <c r="DW51" s="115" t="str">
        <f t="shared" si="181"/>
        <v/>
      </c>
      <c r="DX51" s="51" t="str">
        <f t="shared" si="182"/>
        <v/>
      </c>
      <c r="DY51" s="51"/>
      <c r="DZ51" s="49" t="str">
        <f t="shared" si="130"/>
        <v/>
      </c>
      <c r="EA51" s="91">
        <f t="shared" si="131"/>
        <v>0</v>
      </c>
      <c r="EB51" s="91">
        <f t="shared" si="132"/>
        <v>0</v>
      </c>
      <c r="EC51" s="91"/>
      <c r="ED51" s="48">
        <f>IF(OR(DZ51="",DZ51=0),0,MAX(EA51:EB51:EC51))</f>
        <v>0</v>
      </c>
      <c r="EE51" s="115" t="str">
        <f t="shared" si="183"/>
        <v/>
      </c>
      <c r="EF51" s="51" t="str">
        <f t="shared" si="184"/>
        <v/>
      </c>
      <c r="EG51" s="51"/>
      <c r="EH51" s="49" t="str">
        <f t="shared" si="133"/>
        <v/>
      </c>
      <c r="EI51" s="91">
        <f t="shared" si="134"/>
        <v>0</v>
      </c>
      <c r="EJ51" s="91">
        <f t="shared" si="135"/>
        <v>0</v>
      </c>
      <c r="EK51" s="91"/>
      <c r="EL51" s="48">
        <f>IF(OR(EH51="",EH51=0),0,MAX(EI51:EJ51:EK51))</f>
        <v>0</v>
      </c>
      <c r="EM51" s="115" t="str">
        <f t="shared" si="185"/>
        <v/>
      </c>
      <c r="EN51" s="51" t="str">
        <f t="shared" si="186"/>
        <v/>
      </c>
      <c r="EO51" s="51"/>
      <c r="EP51" s="49" t="str">
        <f t="shared" si="136"/>
        <v/>
      </c>
      <c r="EQ51" s="91">
        <f t="shared" si="137"/>
        <v>0</v>
      </c>
      <c r="ER51" s="91">
        <f t="shared" si="138"/>
        <v>0</v>
      </c>
      <c r="ES51" s="91"/>
      <c r="ET51" s="48">
        <f>IF(OR(EP51="",EP51=0),0,MAX(EQ51:ER51:ES51))</f>
        <v>0</v>
      </c>
      <c r="EU51" s="115" t="str">
        <f t="shared" si="187"/>
        <v/>
      </c>
      <c r="EV51" s="51" t="str">
        <f t="shared" si="188"/>
        <v/>
      </c>
      <c r="EW51" s="51"/>
      <c r="EX51" s="49" t="str">
        <f t="shared" si="139"/>
        <v/>
      </c>
      <c r="EY51" s="91">
        <f t="shared" si="140"/>
        <v>0</v>
      </c>
      <c r="EZ51" s="91">
        <f t="shared" si="141"/>
        <v>0</v>
      </c>
      <c r="FA51" s="91"/>
      <c r="FB51" s="48">
        <f>IF(OR(EX51="",EX51=0),0,MAX(EY51:EZ51:FA51))</f>
        <v>0</v>
      </c>
      <c r="FC51" s="115" t="str">
        <f t="shared" si="189"/>
        <v/>
      </c>
      <c r="FD51" s="51" t="str">
        <f t="shared" si="190"/>
        <v/>
      </c>
      <c r="FE51" s="51"/>
      <c r="FF51" s="49" t="str">
        <f t="shared" si="142"/>
        <v/>
      </c>
      <c r="FG51" s="91">
        <f t="shared" si="143"/>
        <v>0</v>
      </c>
      <c r="FH51" s="91">
        <f t="shared" si="144"/>
        <v>0</v>
      </c>
      <c r="FI51" s="91"/>
      <c r="FJ51" s="48">
        <f>IF(OR(FF51="",FF51=0),0,MAX(FG51:FH51:FI51))</f>
        <v>0</v>
      </c>
      <c r="FK51" s="115" t="str">
        <f t="shared" si="191"/>
        <v/>
      </c>
      <c r="FL51" s="51" t="str">
        <f t="shared" si="192"/>
        <v/>
      </c>
      <c r="FM51" s="51"/>
      <c r="FN51" s="49" t="str">
        <f t="shared" si="145"/>
        <v/>
      </c>
      <c r="FO51" s="91">
        <f t="shared" si="146"/>
        <v>0</v>
      </c>
      <c r="FP51" s="91">
        <f t="shared" si="147"/>
        <v>0</v>
      </c>
      <c r="FQ51" s="91"/>
      <c r="FR51" s="48">
        <f>IF(OR(FN51="",FN51=0),0,MAX(FO51:FP51:FQ51))</f>
        <v>0</v>
      </c>
      <c r="FS51" s="115" t="str">
        <f t="shared" si="193"/>
        <v/>
      </c>
      <c r="FT51" s="51" t="str">
        <f t="shared" si="194"/>
        <v/>
      </c>
      <c r="FU51" s="51"/>
      <c r="FV51" s="49" t="str">
        <f t="shared" si="148"/>
        <v/>
      </c>
      <c r="FW51" s="91">
        <f t="shared" si="149"/>
        <v>0</v>
      </c>
      <c r="FX51" s="91">
        <f t="shared" si="150"/>
        <v>0</v>
      </c>
      <c r="FY51" s="91"/>
      <c r="FZ51" s="48">
        <f>IF(OR(FV51="",FV51=0),0,MAX(FW51:FX51:FY51))</f>
        <v>0</v>
      </c>
      <c r="GA51" s="115" t="str">
        <f t="shared" si="195"/>
        <v/>
      </c>
      <c r="GB51" s="51" t="str">
        <f t="shared" si="196"/>
        <v/>
      </c>
      <c r="GC51" s="51"/>
      <c r="GD51" s="49" t="str">
        <f t="shared" si="151"/>
        <v/>
      </c>
      <c r="GE51" s="91">
        <f t="shared" si="152"/>
        <v>0</v>
      </c>
      <c r="GF51" s="91">
        <f t="shared" si="153"/>
        <v>0</v>
      </c>
      <c r="GG51" s="91"/>
      <c r="GH51" s="48">
        <f>IF(OR(GD51="",GD51=0),0,MAX(GE51:GF51:GG51))</f>
        <v>0</v>
      </c>
    </row>
    <row r="52" spans="1:193" s="16" customFormat="1" ht="18" customHeight="1" thickTop="1" thickBot="1" x14ac:dyDescent="0.35">
      <c r="A52" s="902" t="str">
        <f t="shared" si="154"/>
        <v/>
      </c>
      <c r="B52" s="826" t="str">
        <f t="shared" si="155"/>
        <v/>
      </c>
      <c r="C52" s="843" t="str">
        <f>IF(B52="","",SUM(B$47:B52))</f>
        <v/>
      </c>
      <c r="D52" s="958"/>
      <c r="E52" s="959"/>
      <c r="F52" s="948" t="str">
        <f t="shared" si="202"/>
        <v/>
      </c>
      <c r="G52" s="961"/>
      <c r="H52" s="961"/>
      <c r="I52" s="964" t="str">
        <f t="shared" si="105"/>
        <v/>
      </c>
      <c r="J52" s="964" t="str">
        <f t="shared" si="106"/>
        <v/>
      </c>
      <c r="K52" s="965">
        <f t="shared" si="107"/>
        <v>0</v>
      </c>
      <c r="L52" s="966">
        <f t="shared" si="108"/>
        <v>0</v>
      </c>
      <c r="M52" s="955"/>
      <c r="N52" s="956"/>
      <c r="O52" s="950"/>
      <c r="P52" s="927" t="str">
        <f>IF(M52="","",IF(O52="",ABS(M52)*(1+'Cálculo-Instalação Colectiva-MP'!$L$13),ABS(M52)+O52))</f>
        <v/>
      </c>
      <c r="Q52" s="928" t="str">
        <f t="shared" si="109"/>
        <v/>
      </c>
      <c r="R52" s="935" t="str">
        <f t="shared" si="110"/>
        <v/>
      </c>
      <c r="S52" s="111" t="str">
        <f t="shared" si="111"/>
        <v/>
      </c>
      <c r="T52" s="926"/>
      <c r="U52" s="610" t="str">
        <f t="shared" si="197"/>
        <v/>
      </c>
      <c r="V52" s="936" t="str">
        <f>IF(OR(S52="",S52=0),"",IF($U52&gt;'Quadro 3'!$F$23,'Quadro 3'!$F$23,IF($U52&lt;'Quadro 3'!$F$10,'Quadro 3'!$F$10,MIN($W52,$X52))))</f>
        <v/>
      </c>
      <c r="W52" s="937" t="str">
        <f>IF(AND(AW52&lt;&gt;2,$U52&lt;='Quadro 3'!$F$10),'Quadro 3'!$F$10,IF($U52&lt;='Quadro 3'!$F$11,'Quadro 3'!$F$11,IF($U52&lt;='Quadro 3'!$F$12,'Quadro 3'!$F$12,IF($U52&lt;='Quadro 3'!$F$13,'Quadro 3'!$F$13,IF($U52&lt;='Quadro 3'!$F$14,'Quadro 3'!$F$14,IF($U52&lt;='Quadro 3'!$F$15,'Quadro 3'!$F$15,IF($U52&lt;='Quadro 3'!$F$16,'Quadro 3'!$F$16,"")))))))</f>
        <v/>
      </c>
      <c r="X52" s="938" t="str">
        <f>IF(OR(S52="",S52=0),"",IF($U52&lt;='Quadro 3'!$F$17,'Quadro 3'!$F$17,IF($U52&lt;='Quadro 3'!$F$18,'Quadro 3'!$F$18,IF($U52&lt;='Quadro 3'!$F$19,'Quadro 3'!$F$19,IF($U52&lt;='Quadro 3'!$F$20,'Quadro 3'!$F$20,IF($U52&lt;='Quadro 3'!$F$21,'Quadro 3'!$F$21,IF($U52&lt;='Quadro 3'!$F$22,'Quadro 3'!$F$22,IF($U52&lt;='Quadro 3'!$F$23,'Quadro 3'!$F$23,'Quadro 3'!$F$23))))))))</f>
        <v/>
      </c>
      <c r="Y52" s="936" t="str">
        <f>IF($V52="","",LOOKUP($V52,'Quadro 3'!$F$9:$F$23,'Quadro 3'!$G$9:$G$23))</f>
        <v/>
      </c>
      <c r="Z52" s="1129" t="str">
        <f>IF($V52="","",LOOKUP($V52,'Quadro 3'!$F$9:$F$23,'Quadro 3'!$D$9:$D$23))</f>
        <v/>
      </c>
      <c r="AA52" s="939" t="str">
        <f>IF($V52="","",LOOKUP($V52,'Quadro 3'!$F$9:$F$23,'Quadro 3'!$E$9:$E$23))</f>
        <v/>
      </c>
      <c r="AB52" s="929" t="str">
        <f t="shared" si="112"/>
        <v/>
      </c>
      <c r="AC52" s="930" t="str">
        <f t="shared" si="198"/>
        <v/>
      </c>
      <c r="AD52" s="942" t="str">
        <f t="shared" si="156"/>
        <v/>
      </c>
      <c r="AE52" s="1124" t="str">
        <f t="shared" si="157"/>
        <v/>
      </c>
      <c r="AF52" s="931" t="str">
        <f t="shared" si="113"/>
        <v/>
      </c>
      <c r="AG52" s="943" t="str">
        <f t="shared" si="158"/>
        <v/>
      </c>
      <c r="AH52" s="1153" t="str">
        <f t="shared" si="114"/>
        <v/>
      </c>
      <c r="AI52" s="1154"/>
      <c r="AJ52" s="940"/>
      <c r="AK52" s="942"/>
      <c r="AL52" s="933" t="str">
        <f t="shared" si="159"/>
        <v/>
      </c>
      <c r="AM52" s="1153" t="str">
        <f t="shared" si="115"/>
        <v/>
      </c>
      <c r="AN52" s="1154"/>
      <c r="AO52" s="17"/>
      <c r="AP52" s="909" t="str">
        <f t="shared" si="160"/>
        <v/>
      </c>
      <c r="AV52" s="1117">
        <f t="shared" si="161"/>
        <v>0</v>
      </c>
      <c r="AW52" s="906" t="str">
        <f>IF(OR('Cálculo-Instalação Colectiva-MP'!$I$5&lt;&gt;1,S52="",S52=0),"",IF(OR(AND(G52&lt;&gt;"",H52=""),AND(G52="",H52&lt;&gt;"")),1,2))</f>
        <v/>
      </c>
      <c r="AY52" s="241">
        <f t="shared" si="116"/>
        <v>0</v>
      </c>
      <c r="AZ52" s="263" t="str">
        <f t="shared" si="117"/>
        <v/>
      </c>
      <c r="BA52" s="263" t="str">
        <f t="shared" si="118"/>
        <v/>
      </c>
      <c r="BB52" s="263"/>
      <c r="BI52" s="350" t="str">
        <f t="shared" si="162"/>
        <v>0</v>
      </c>
      <c r="BJ52" s="350">
        <f t="shared" si="163"/>
        <v>0</v>
      </c>
      <c r="BM52" s="911" t="str">
        <f t="shared" si="164"/>
        <v/>
      </c>
      <c r="BV52" s="350" t="str">
        <f t="shared" si="165"/>
        <v/>
      </c>
      <c r="BW52" s="235" t="str">
        <f t="shared" si="166"/>
        <v/>
      </c>
      <c r="BX52" s="235" t="str">
        <f t="shared" si="167"/>
        <v/>
      </c>
      <c r="BY52" s="235" t="str">
        <f t="shared" si="168"/>
        <v/>
      </c>
      <c r="BZ52" s="235" t="str">
        <f t="shared" si="169"/>
        <v/>
      </c>
      <c r="CA52" s="235" t="str">
        <f t="shared" si="170"/>
        <v/>
      </c>
      <c r="CB52" s="235" t="str">
        <f t="shared" si="171"/>
        <v/>
      </c>
      <c r="CC52" s="235" t="str">
        <f t="shared" si="172"/>
        <v/>
      </c>
      <c r="CD52" s="235" t="str">
        <f t="shared" si="173"/>
        <v/>
      </c>
      <c r="CE52" s="235" t="str">
        <f t="shared" si="174"/>
        <v/>
      </c>
      <c r="CF52" s="235" t="str">
        <f t="shared" si="175"/>
        <v/>
      </c>
      <c r="CQ52" s="2">
        <v>6</v>
      </c>
      <c r="CV52" s="209" t="str">
        <f t="shared" si="199"/>
        <v/>
      </c>
      <c r="CW52" s="204" t="str">
        <f t="shared" si="200"/>
        <v/>
      </c>
      <c r="CX52" s="43">
        <f t="shared" si="201"/>
        <v>0</v>
      </c>
      <c r="CY52" s="163" t="str">
        <f t="shared" si="119"/>
        <v/>
      </c>
      <c r="CZ52" s="45" t="str">
        <f t="shared" si="120"/>
        <v/>
      </c>
      <c r="DA52" s="46">
        <f t="shared" si="121"/>
        <v>0</v>
      </c>
      <c r="DB52" s="47" t="str">
        <f t="shared" si="122"/>
        <v/>
      </c>
      <c r="DC52" s="91">
        <f t="shared" si="123"/>
        <v>0</v>
      </c>
      <c r="DD52" s="91">
        <f t="shared" si="124"/>
        <v>0</v>
      </c>
      <c r="DE52" s="91"/>
      <c r="DF52" s="48">
        <f>IF(OR(DB52="",DB52=0),0,MAX(DC52:DD52:DE52))</f>
        <v>0</v>
      </c>
      <c r="DG52" s="115" t="str">
        <f t="shared" si="176"/>
        <v/>
      </c>
      <c r="DH52" s="51" t="str">
        <f t="shared" si="177"/>
        <v/>
      </c>
      <c r="DI52" s="51"/>
      <c r="DJ52" s="49" t="str">
        <f t="shared" si="178"/>
        <v/>
      </c>
      <c r="DK52" s="91">
        <f t="shared" si="125"/>
        <v>0</v>
      </c>
      <c r="DL52" s="91">
        <f t="shared" si="126"/>
        <v>0</v>
      </c>
      <c r="DM52" s="91"/>
      <c r="DN52" s="48">
        <f>IF(OR(DJ52="",DJ52=0),0,MAX(DK52:DL52:DM52))</f>
        <v>0</v>
      </c>
      <c r="DO52" s="115" t="str">
        <f t="shared" si="179"/>
        <v/>
      </c>
      <c r="DP52" s="51" t="str">
        <f t="shared" si="180"/>
        <v/>
      </c>
      <c r="DQ52" s="51"/>
      <c r="DR52" s="49" t="str">
        <f t="shared" si="127"/>
        <v/>
      </c>
      <c r="DS52" s="91">
        <f t="shared" si="128"/>
        <v>0</v>
      </c>
      <c r="DT52" s="91">
        <f t="shared" si="129"/>
        <v>0</v>
      </c>
      <c r="DU52" s="91"/>
      <c r="DV52" s="48">
        <f>IF(OR(DR52="",DR52=0),0,MAX(DS52:DT52:DU52))</f>
        <v>0</v>
      </c>
      <c r="DW52" s="115" t="str">
        <f t="shared" si="181"/>
        <v/>
      </c>
      <c r="DX52" s="51" t="str">
        <f t="shared" si="182"/>
        <v/>
      </c>
      <c r="DY52" s="51"/>
      <c r="DZ52" s="49" t="str">
        <f t="shared" si="130"/>
        <v/>
      </c>
      <c r="EA52" s="91">
        <f t="shared" si="131"/>
        <v>0</v>
      </c>
      <c r="EB52" s="91">
        <f t="shared" si="132"/>
        <v>0</v>
      </c>
      <c r="EC52" s="91"/>
      <c r="ED52" s="48">
        <f>IF(OR(DZ52="",DZ52=0),0,MAX(EA52:EB52:EC52))</f>
        <v>0</v>
      </c>
      <c r="EE52" s="115" t="str">
        <f t="shared" si="183"/>
        <v/>
      </c>
      <c r="EF52" s="51" t="str">
        <f t="shared" si="184"/>
        <v/>
      </c>
      <c r="EG52" s="51"/>
      <c r="EH52" s="49" t="str">
        <f t="shared" si="133"/>
        <v/>
      </c>
      <c r="EI52" s="91">
        <f t="shared" si="134"/>
        <v>0</v>
      </c>
      <c r="EJ52" s="91">
        <f t="shared" si="135"/>
        <v>0</v>
      </c>
      <c r="EK52" s="91"/>
      <c r="EL52" s="48">
        <f>IF(OR(EH52="",EH52=0),0,MAX(EI52:EJ52:EK52))</f>
        <v>0</v>
      </c>
      <c r="EM52" s="115" t="str">
        <f t="shared" si="185"/>
        <v/>
      </c>
      <c r="EN52" s="51" t="str">
        <f t="shared" si="186"/>
        <v/>
      </c>
      <c r="EO52" s="51"/>
      <c r="EP52" s="49" t="str">
        <f t="shared" si="136"/>
        <v/>
      </c>
      <c r="EQ52" s="91">
        <f t="shared" si="137"/>
        <v>0</v>
      </c>
      <c r="ER52" s="91">
        <f t="shared" si="138"/>
        <v>0</v>
      </c>
      <c r="ES52" s="91"/>
      <c r="ET52" s="48">
        <f>IF(OR(EP52="",EP52=0),0,MAX(EQ52:ER52:ES52))</f>
        <v>0</v>
      </c>
      <c r="EU52" s="115" t="str">
        <f t="shared" si="187"/>
        <v/>
      </c>
      <c r="EV52" s="51" t="str">
        <f t="shared" si="188"/>
        <v/>
      </c>
      <c r="EW52" s="51"/>
      <c r="EX52" s="49" t="str">
        <f t="shared" si="139"/>
        <v/>
      </c>
      <c r="EY52" s="91">
        <f t="shared" si="140"/>
        <v>0</v>
      </c>
      <c r="EZ52" s="91">
        <f t="shared" si="141"/>
        <v>0</v>
      </c>
      <c r="FA52" s="91"/>
      <c r="FB52" s="48">
        <f>IF(OR(EX52="",EX52=0),0,MAX(EY52:EZ52:FA52))</f>
        <v>0</v>
      </c>
      <c r="FC52" s="115" t="str">
        <f t="shared" si="189"/>
        <v/>
      </c>
      <c r="FD52" s="51" t="str">
        <f t="shared" si="190"/>
        <v/>
      </c>
      <c r="FE52" s="51"/>
      <c r="FF52" s="49" t="str">
        <f t="shared" si="142"/>
        <v/>
      </c>
      <c r="FG52" s="91">
        <f t="shared" si="143"/>
        <v>0</v>
      </c>
      <c r="FH52" s="91">
        <f t="shared" si="144"/>
        <v>0</v>
      </c>
      <c r="FI52" s="91"/>
      <c r="FJ52" s="48">
        <f>IF(OR(FF52="",FF52=0),0,MAX(FG52:FH52:FI52))</f>
        <v>0</v>
      </c>
      <c r="FK52" s="115" t="str">
        <f t="shared" si="191"/>
        <v/>
      </c>
      <c r="FL52" s="51" t="str">
        <f t="shared" si="192"/>
        <v/>
      </c>
      <c r="FM52" s="51"/>
      <c r="FN52" s="49" t="str">
        <f t="shared" si="145"/>
        <v/>
      </c>
      <c r="FO52" s="91">
        <f t="shared" si="146"/>
        <v>0</v>
      </c>
      <c r="FP52" s="91">
        <f t="shared" si="147"/>
        <v>0</v>
      </c>
      <c r="FQ52" s="91"/>
      <c r="FR52" s="48">
        <f>IF(OR(FN52="",FN52=0),0,MAX(FO52:FP52:FQ52))</f>
        <v>0</v>
      </c>
      <c r="FS52" s="115" t="str">
        <f t="shared" si="193"/>
        <v/>
      </c>
      <c r="FT52" s="51" t="str">
        <f t="shared" si="194"/>
        <v/>
      </c>
      <c r="FU52" s="51"/>
      <c r="FV52" s="49" t="str">
        <f t="shared" si="148"/>
        <v/>
      </c>
      <c r="FW52" s="91">
        <f t="shared" si="149"/>
        <v>0</v>
      </c>
      <c r="FX52" s="91">
        <f t="shared" si="150"/>
        <v>0</v>
      </c>
      <c r="FY52" s="91"/>
      <c r="FZ52" s="48">
        <f>IF(OR(FV52="",FV52=0),0,MAX(FW52:FX52:FY52))</f>
        <v>0</v>
      </c>
      <c r="GA52" s="115" t="str">
        <f t="shared" si="195"/>
        <v/>
      </c>
      <c r="GB52" s="51" t="str">
        <f t="shared" si="196"/>
        <v/>
      </c>
      <c r="GC52" s="51"/>
      <c r="GD52" s="49" t="str">
        <f t="shared" si="151"/>
        <v/>
      </c>
      <c r="GE52" s="91">
        <f t="shared" si="152"/>
        <v>0</v>
      </c>
      <c r="GF52" s="91">
        <f t="shared" si="153"/>
        <v>0</v>
      </c>
      <c r="GG52" s="91"/>
      <c r="GH52" s="48">
        <f>IF(OR(GD52="",GD52=0),0,MAX(GE52:GF52:GG52))</f>
        <v>0</v>
      </c>
    </row>
    <row r="53" spans="1:193" s="16" customFormat="1" ht="18" customHeight="1" thickTop="1" thickBot="1" x14ac:dyDescent="0.35">
      <c r="A53" s="902" t="str">
        <f t="shared" si="154"/>
        <v/>
      </c>
      <c r="B53" s="826" t="str">
        <f t="shared" si="155"/>
        <v/>
      </c>
      <c r="C53" s="843" t="str">
        <f>IF(B53="","",SUM(B$47:B53))</f>
        <v/>
      </c>
      <c r="D53" s="958"/>
      <c r="E53" s="959"/>
      <c r="F53" s="948" t="str">
        <f t="shared" si="202"/>
        <v/>
      </c>
      <c r="G53" s="961"/>
      <c r="H53" s="961"/>
      <c r="I53" s="964" t="str">
        <f t="shared" si="105"/>
        <v/>
      </c>
      <c r="J53" s="964" t="str">
        <f t="shared" si="106"/>
        <v/>
      </c>
      <c r="K53" s="965">
        <f t="shared" si="107"/>
        <v>0</v>
      </c>
      <c r="L53" s="966">
        <f t="shared" si="108"/>
        <v>0</v>
      </c>
      <c r="M53" s="955"/>
      <c r="N53" s="956"/>
      <c r="O53" s="950"/>
      <c r="P53" s="927" t="str">
        <f>IF(M53="","",IF(O53="",ABS(M53)*(1+'Cálculo-Instalação Colectiva-MP'!$L$13),ABS(M53)+O53))</f>
        <v/>
      </c>
      <c r="Q53" s="928" t="str">
        <f t="shared" si="109"/>
        <v/>
      </c>
      <c r="R53" s="935" t="str">
        <f t="shared" si="110"/>
        <v/>
      </c>
      <c r="S53" s="111" t="str">
        <f t="shared" si="111"/>
        <v/>
      </c>
      <c r="T53" s="926"/>
      <c r="U53" s="610" t="str">
        <f t="shared" si="197"/>
        <v/>
      </c>
      <c r="V53" s="936" t="str">
        <f>IF(OR(S53="",S53=0),"",IF($U53&gt;'Quadro 3'!$F$23,'Quadro 3'!$F$23,IF($U53&lt;'Quadro 3'!$F$10,'Quadro 3'!$F$10,MIN($W53,$X53))))</f>
        <v/>
      </c>
      <c r="W53" s="937" t="str">
        <f>IF(AND(AW53&lt;&gt;2,$U53&lt;='Quadro 3'!$F$10),'Quadro 3'!$F$10,IF($U53&lt;='Quadro 3'!$F$11,'Quadro 3'!$F$11,IF($U53&lt;='Quadro 3'!$F$12,'Quadro 3'!$F$12,IF($U53&lt;='Quadro 3'!$F$13,'Quadro 3'!$F$13,IF($U53&lt;='Quadro 3'!$F$14,'Quadro 3'!$F$14,IF($U53&lt;='Quadro 3'!$F$15,'Quadro 3'!$F$15,IF($U53&lt;='Quadro 3'!$F$16,'Quadro 3'!$F$16,"")))))))</f>
        <v/>
      </c>
      <c r="X53" s="938" t="str">
        <f>IF(OR(S53="",S53=0),"",IF($U53&lt;='Quadro 3'!$F$17,'Quadro 3'!$F$17,IF($U53&lt;='Quadro 3'!$F$18,'Quadro 3'!$F$18,IF($U53&lt;='Quadro 3'!$F$19,'Quadro 3'!$F$19,IF($U53&lt;='Quadro 3'!$F$20,'Quadro 3'!$F$20,IF($U53&lt;='Quadro 3'!$F$21,'Quadro 3'!$F$21,IF($U53&lt;='Quadro 3'!$F$22,'Quadro 3'!$F$22,IF($U53&lt;='Quadro 3'!$F$23,'Quadro 3'!$F$23,'Quadro 3'!$F$23))))))))</f>
        <v/>
      </c>
      <c r="Y53" s="936" t="str">
        <f>IF($V53="","",LOOKUP($V53,'Quadro 3'!$F$9:$F$23,'Quadro 3'!$G$9:$G$23))</f>
        <v/>
      </c>
      <c r="Z53" s="1129" t="str">
        <f>IF($V53="","",LOOKUP($V53,'Quadro 3'!$F$9:$F$23,'Quadro 3'!$D$9:$D$23))</f>
        <v/>
      </c>
      <c r="AA53" s="939" t="str">
        <f>IF($V53="","",LOOKUP($V53,'Quadro 3'!$F$9:$F$23,'Quadro 3'!$E$9:$E$23))</f>
        <v/>
      </c>
      <c r="AB53" s="929" t="str">
        <f t="shared" si="112"/>
        <v/>
      </c>
      <c r="AC53" s="930" t="str">
        <f t="shared" si="198"/>
        <v/>
      </c>
      <c r="AD53" s="942" t="str">
        <f t="shared" si="156"/>
        <v/>
      </c>
      <c r="AE53" s="1124" t="str">
        <f t="shared" si="157"/>
        <v/>
      </c>
      <c r="AF53" s="931" t="str">
        <f t="shared" si="113"/>
        <v/>
      </c>
      <c r="AG53" s="943" t="str">
        <f t="shared" si="158"/>
        <v/>
      </c>
      <c r="AH53" s="1153" t="str">
        <f t="shared" si="114"/>
        <v/>
      </c>
      <c r="AI53" s="1154"/>
      <c r="AJ53" s="940"/>
      <c r="AK53" s="942"/>
      <c r="AL53" s="933" t="str">
        <f t="shared" si="159"/>
        <v/>
      </c>
      <c r="AM53" s="1153" t="str">
        <f t="shared" si="115"/>
        <v/>
      </c>
      <c r="AN53" s="1154"/>
      <c r="AO53" s="17"/>
      <c r="AP53" s="909" t="str">
        <f t="shared" si="160"/>
        <v/>
      </c>
      <c r="AV53" s="1117">
        <f t="shared" si="161"/>
        <v>0</v>
      </c>
      <c r="AW53" s="906" t="str">
        <f>IF(OR('Cálculo-Instalação Colectiva-MP'!$I$5&lt;&gt;1,S53="",S53=0),"",IF(OR(AND(G53&lt;&gt;"",H53=""),AND(G53="",H53&lt;&gt;"")),1,2))</f>
        <v/>
      </c>
      <c r="AY53" s="241">
        <f t="shared" si="116"/>
        <v>0</v>
      </c>
      <c r="AZ53" s="263" t="str">
        <f t="shared" si="117"/>
        <v/>
      </c>
      <c r="BA53" s="263" t="str">
        <f t="shared" si="118"/>
        <v/>
      </c>
      <c r="BB53" s="263"/>
      <c r="BI53" s="350" t="str">
        <f t="shared" si="162"/>
        <v>0</v>
      </c>
      <c r="BJ53" s="350">
        <f t="shared" si="163"/>
        <v>0</v>
      </c>
      <c r="BM53" s="911" t="str">
        <f t="shared" si="164"/>
        <v/>
      </c>
      <c r="BV53" s="350" t="str">
        <f t="shared" si="165"/>
        <v/>
      </c>
      <c r="BW53" s="235" t="str">
        <f t="shared" si="166"/>
        <v/>
      </c>
      <c r="BX53" s="235" t="str">
        <f t="shared" si="167"/>
        <v/>
      </c>
      <c r="BY53" s="235" t="str">
        <f t="shared" si="168"/>
        <v/>
      </c>
      <c r="BZ53" s="235" t="str">
        <f t="shared" si="169"/>
        <v/>
      </c>
      <c r="CA53" s="235" t="str">
        <f t="shared" si="170"/>
        <v/>
      </c>
      <c r="CB53" s="235" t="str">
        <f t="shared" si="171"/>
        <v/>
      </c>
      <c r="CC53" s="235" t="str">
        <f t="shared" si="172"/>
        <v/>
      </c>
      <c r="CD53" s="235" t="str">
        <f t="shared" si="173"/>
        <v/>
      </c>
      <c r="CE53" s="235" t="str">
        <f t="shared" si="174"/>
        <v/>
      </c>
      <c r="CF53" s="235" t="str">
        <f t="shared" si="175"/>
        <v/>
      </c>
      <c r="CQ53" s="2">
        <v>7</v>
      </c>
      <c r="CV53" s="209" t="str">
        <f t="shared" si="199"/>
        <v/>
      </c>
      <c r="CW53" s="204" t="str">
        <f t="shared" si="200"/>
        <v/>
      </c>
      <c r="CX53" s="43">
        <f t="shared" si="201"/>
        <v>0</v>
      </c>
      <c r="CY53" s="163" t="str">
        <f t="shared" si="119"/>
        <v/>
      </c>
      <c r="CZ53" s="45" t="str">
        <f t="shared" si="120"/>
        <v/>
      </c>
      <c r="DA53" s="46">
        <f t="shared" si="121"/>
        <v>0</v>
      </c>
      <c r="DB53" s="47" t="str">
        <f t="shared" si="122"/>
        <v/>
      </c>
      <c r="DC53" s="91">
        <f t="shared" si="123"/>
        <v>0</v>
      </c>
      <c r="DD53" s="91">
        <f t="shared" si="124"/>
        <v>0</v>
      </c>
      <c r="DE53" s="91"/>
      <c r="DF53" s="48">
        <f>IF(OR(DB53="",DB53=0),0,MAX(DC53:DD53:DE53))</f>
        <v>0</v>
      </c>
      <c r="DG53" s="115" t="str">
        <f t="shared" si="176"/>
        <v/>
      </c>
      <c r="DH53" s="51" t="str">
        <f t="shared" si="177"/>
        <v/>
      </c>
      <c r="DI53" s="51"/>
      <c r="DJ53" s="49" t="str">
        <f t="shared" si="178"/>
        <v/>
      </c>
      <c r="DK53" s="91">
        <f t="shared" si="125"/>
        <v>0</v>
      </c>
      <c r="DL53" s="91">
        <f t="shared" si="126"/>
        <v>0</v>
      </c>
      <c r="DM53" s="91"/>
      <c r="DN53" s="48">
        <f>IF(OR(DJ53="",DJ53=0),0,MAX(DK53:DL53:DM53))</f>
        <v>0</v>
      </c>
      <c r="DO53" s="115" t="str">
        <f t="shared" si="179"/>
        <v/>
      </c>
      <c r="DP53" s="51" t="str">
        <f t="shared" si="180"/>
        <v/>
      </c>
      <c r="DQ53" s="51"/>
      <c r="DR53" s="49" t="str">
        <f t="shared" si="127"/>
        <v/>
      </c>
      <c r="DS53" s="91">
        <f t="shared" si="128"/>
        <v>0</v>
      </c>
      <c r="DT53" s="91">
        <f t="shared" si="129"/>
        <v>0</v>
      </c>
      <c r="DU53" s="91"/>
      <c r="DV53" s="48">
        <f>IF(OR(DR53="",DR53=0),0,MAX(DS53:DT53:DU53))</f>
        <v>0</v>
      </c>
      <c r="DW53" s="115" t="str">
        <f t="shared" si="181"/>
        <v/>
      </c>
      <c r="DX53" s="51" t="str">
        <f t="shared" si="182"/>
        <v/>
      </c>
      <c r="DY53" s="51"/>
      <c r="DZ53" s="49" t="str">
        <f t="shared" si="130"/>
        <v/>
      </c>
      <c r="EA53" s="91">
        <f t="shared" si="131"/>
        <v>0</v>
      </c>
      <c r="EB53" s="91">
        <f t="shared" si="132"/>
        <v>0</v>
      </c>
      <c r="EC53" s="91"/>
      <c r="ED53" s="48">
        <f>IF(OR(DZ53="",DZ53=0),0,MAX(EA53:EB53:EC53))</f>
        <v>0</v>
      </c>
      <c r="EE53" s="115" t="str">
        <f t="shared" si="183"/>
        <v/>
      </c>
      <c r="EF53" s="51" t="str">
        <f t="shared" si="184"/>
        <v/>
      </c>
      <c r="EG53" s="51"/>
      <c r="EH53" s="49" t="str">
        <f t="shared" si="133"/>
        <v/>
      </c>
      <c r="EI53" s="91">
        <f t="shared" si="134"/>
        <v>0</v>
      </c>
      <c r="EJ53" s="91">
        <f t="shared" si="135"/>
        <v>0</v>
      </c>
      <c r="EK53" s="91"/>
      <c r="EL53" s="48">
        <f>IF(OR(EH53="",EH53=0),0,MAX(EI53:EJ53:EK53))</f>
        <v>0</v>
      </c>
      <c r="EM53" s="115" t="str">
        <f t="shared" si="185"/>
        <v/>
      </c>
      <c r="EN53" s="51" t="str">
        <f t="shared" si="186"/>
        <v/>
      </c>
      <c r="EO53" s="51"/>
      <c r="EP53" s="49" t="str">
        <f t="shared" si="136"/>
        <v/>
      </c>
      <c r="EQ53" s="91">
        <f t="shared" si="137"/>
        <v>0</v>
      </c>
      <c r="ER53" s="91">
        <f t="shared" si="138"/>
        <v>0</v>
      </c>
      <c r="ES53" s="91"/>
      <c r="ET53" s="48">
        <f>IF(OR(EP53="",EP53=0),0,MAX(EQ53:ER53:ES53))</f>
        <v>0</v>
      </c>
      <c r="EU53" s="115" t="str">
        <f t="shared" si="187"/>
        <v/>
      </c>
      <c r="EV53" s="51" t="str">
        <f t="shared" si="188"/>
        <v/>
      </c>
      <c r="EW53" s="51"/>
      <c r="EX53" s="49" t="str">
        <f t="shared" si="139"/>
        <v/>
      </c>
      <c r="EY53" s="91">
        <f t="shared" si="140"/>
        <v>0</v>
      </c>
      <c r="EZ53" s="91">
        <f t="shared" si="141"/>
        <v>0</v>
      </c>
      <c r="FA53" s="91"/>
      <c r="FB53" s="48">
        <f>IF(OR(EX53="",EX53=0),0,MAX(EY53:EZ53:FA53))</f>
        <v>0</v>
      </c>
      <c r="FC53" s="115" t="str">
        <f t="shared" si="189"/>
        <v/>
      </c>
      <c r="FD53" s="51" t="str">
        <f t="shared" si="190"/>
        <v/>
      </c>
      <c r="FE53" s="51"/>
      <c r="FF53" s="49" t="str">
        <f t="shared" si="142"/>
        <v/>
      </c>
      <c r="FG53" s="91">
        <f t="shared" si="143"/>
        <v>0</v>
      </c>
      <c r="FH53" s="91">
        <f t="shared" si="144"/>
        <v>0</v>
      </c>
      <c r="FI53" s="91"/>
      <c r="FJ53" s="48">
        <f>IF(OR(FF53="",FF53=0),0,MAX(FG53:FH53:FI53))</f>
        <v>0</v>
      </c>
      <c r="FK53" s="115" t="str">
        <f t="shared" si="191"/>
        <v/>
      </c>
      <c r="FL53" s="51" t="str">
        <f t="shared" si="192"/>
        <v/>
      </c>
      <c r="FM53" s="51"/>
      <c r="FN53" s="49" t="str">
        <f t="shared" si="145"/>
        <v/>
      </c>
      <c r="FO53" s="91">
        <f t="shared" si="146"/>
        <v>0</v>
      </c>
      <c r="FP53" s="91">
        <f t="shared" si="147"/>
        <v>0</v>
      </c>
      <c r="FQ53" s="91"/>
      <c r="FR53" s="48">
        <f>IF(OR(FN53="",FN53=0),0,MAX(FO53:FP53:FQ53))</f>
        <v>0</v>
      </c>
      <c r="FS53" s="115" t="str">
        <f t="shared" si="193"/>
        <v/>
      </c>
      <c r="FT53" s="51" t="str">
        <f t="shared" si="194"/>
        <v/>
      </c>
      <c r="FU53" s="51"/>
      <c r="FV53" s="49" t="str">
        <f t="shared" si="148"/>
        <v/>
      </c>
      <c r="FW53" s="91">
        <f t="shared" si="149"/>
        <v>0</v>
      </c>
      <c r="FX53" s="91">
        <f t="shared" si="150"/>
        <v>0</v>
      </c>
      <c r="FY53" s="91"/>
      <c r="FZ53" s="48">
        <f>IF(OR(FV53="",FV53=0),0,MAX(FW53:FX53:FY53))</f>
        <v>0</v>
      </c>
      <c r="GA53" s="115" t="str">
        <f t="shared" si="195"/>
        <v/>
      </c>
      <c r="GB53" s="51" t="str">
        <f t="shared" si="196"/>
        <v/>
      </c>
      <c r="GC53" s="51"/>
      <c r="GD53" s="49" t="str">
        <f t="shared" si="151"/>
        <v/>
      </c>
      <c r="GE53" s="91">
        <f t="shared" si="152"/>
        <v>0</v>
      </c>
      <c r="GF53" s="91">
        <f t="shared" si="153"/>
        <v>0</v>
      </c>
      <c r="GG53" s="91"/>
      <c r="GH53" s="48">
        <f>IF(OR(GD53="",GD53=0),0,MAX(GE53:GF53:GG53))</f>
        <v>0</v>
      </c>
    </row>
    <row r="54" spans="1:193" s="16" customFormat="1" ht="18" customHeight="1" thickTop="1" thickBot="1" x14ac:dyDescent="0.35">
      <c r="A54" s="902" t="str">
        <f t="shared" si="154"/>
        <v/>
      </c>
      <c r="B54" s="826" t="str">
        <f t="shared" si="155"/>
        <v/>
      </c>
      <c r="C54" s="843" t="str">
        <f>IF(B54="","",SUM(B$47:B54))</f>
        <v/>
      </c>
      <c r="D54" s="958"/>
      <c r="E54" s="959"/>
      <c r="F54" s="948" t="str">
        <f t="shared" si="202"/>
        <v/>
      </c>
      <c r="G54" s="961"/>
      <c r="H54" s="961"/>
      <c r="I54" s="964" t="str">
        <f t="shared" si="105"/>
        <v/>
      </c>
      <c r="J54" s="964" t="str">
        <f t="shared" si="106"/>
        <v/>
      </c>
      <c r="K54" s="965">
        <f t="shared" si="107"/>
        <v>0</v>
      </c>
      <c r="L54" s="966">
        <f t="shared" si="108"/>
        <v>0</v>
      </c>
      <c r="M54" s="955"/>
      <c r="N54" s="956"/>
      <c r="O54" s="950"/>
      <c r="P54" s="927" t="str">
        <f>IF(M54="","",IF(O54="",ABS(M54)*(1+'Cálculo-Instalação Colectiva-MP'!$L$13),ABS(M54)+O54))</f>
        <v/>
      </c>
      <c r="Q54" s="928" t="str">
        <f t="shared" si="109"/>
        <v/>
      </c>
      <c r="R54" s="935" t="str">
        <f t="shared" si="110"/>
        <v/>
      </c>
      <c r="S54" s="111" t="str">
        <f t="shared" si="111"/>
        <v/>
      </c>
      <c r="T54" s="926"/>
      <c r="U54" s="610" t="str">
        <f t="shared" si="197"/>
        <v/>
      </c>
      <c r="V54" s="936" t="str">
        <f>IF(OR(S54="",S54=0),"",IF($U54&gt;'Quadro 3'!$F$23,'Quadro 3'!$F$23,IF($U54&lt;'Quadro 3'!$F$10,'Quadro 3'!$F$10,MIN($W54,$X54))))</f>
        <v/>
      </c>
      <c r="W54" s="937" t="str">
        <f>IF(AND(AW54&lt;&gt;2,$U54&lt;='Quadro 3'!$F$10),'Quadro 3'!$F$10,IF($U54&lt;='Quadro 3'!$F$11,'Quadro 3'!$F$11,IF($U54&lt;='Quadro 3'!$F$12,'Quadro 3'!$F$12,IF($U54&lt;='Quadro 3'!$F$13,'Quadro 3'!$F$13,IF($U54&lt;='Quadro 3'!$F$14,'Quadro 3'!$F$14,IF($U54&lt;='Quadro 3'!$F$15,'Quadro 3'!$F$15,IF($U54&lt;='Quadro 3'!$F$16,'Quadro 3'!$F$16,"")))))))</f>
        <v/>
      </c>
      <c r="X54" s="938" t="str">
        <f>IF(OR(S54="",S54=0),"",IF($U54&lt;='Quadro 3'!$F$17,'Quadro 3'!$F$17,IF($U54&lt;='Quadro 3'!$F$18,'Quadro 3'!$F$18,IF($U54&lt;='Quadro 3'!$F$19,'Quadro 3'!$F$19,IF($U54&lt;='Quadro 3'!$F$20,'Quadro 3'!$F$20,IF($U54&lt;='Quadro 3'!$F$21,'Quadro 3'!$F$21,IF($U54&lt;='Quadro 3'!$F$22,'Quadro 3'!$F$22,IF($U54&lt;='Quadro 3'!$F$23,'Quadro 3'!$F$23,'Quadro 3'!$F$23))))))))</f>
        <v/>
      </c>
      <c r="Y54" s="936" t="str">
        <f>IF($V54="","",LOOKUP($V54,'Quadro 3'!$F$9:$F$23,'Quadro 3'!$G$9:$G$23))</f>
        <v/>
      </c>
      <c r="Z54" s="1129" t="str">
        <f>IF($V54="","",LOOKUP($V54,'Quadro 3'!$F$9:$F$23,'Quadro 3'!$D$9:$D$23))</f>
        <v/>
      </c>
      <c r="AA54" s="939" t="str">
        <f>IF($V54="","",LOOKUP($V54,'Quadro 3'!$F$9:$F$23,'Quadro 3'!$E$9:$E$23))</f>
        <v/>
      </c>
      <c r="AB54" s="929" t="str">
        <f t="shared" si="112"/>
        <v/>
      </c>
      <c r="AC54" s="930" t="str">
        <f t="shared" si="198"/>
        <v/>
      </c>
      <c r="AD54" s="942" t="str">
        <f t="shared" si="156"/>
        <v/>
      </c>
      <c r="AE54" s="1124" t="str">
        <f t="shared" si="157"/>
        <v/>
      </c>
      <c r="AF54" s="931" t="str">
        <f t="shared" si="113"/>
        <v/>
      </c>
      <c r="AG54" s="943" t="str">
        <f t="shared" si="158"/>
        <v/>
      </c>
      <c r="AH54" s="1153" t="str">
        <f t="shared" si="114"/>
        <v/>
      </c>
      <c r="AI54" s="1154"/>
      <c r="AJ54" s="940"/>
      <c r="AK54" s="942"/>
      <c r="AL54" s="933" t="str">
        <f t="shared" si="159"/>
        <v/>
      </c>
      <c r="AM54" s="1153" t="str">
        <f t="shared" si="115"/>
        <v/>
      </c>
      <c r="AN54" s="1154"/>
      <c r="AO54" s="17"/>
      <c r="AP54" s="909" t="str">
        <f t="shared" si="160"/>
        <v/>
      </c>
      <c r="AV54" s="1117">
        <f t="shared" si="161"/>
        <v>0</v>
      </c>
      <c r="AW54" s="906" t="str">
        <f>IF(OR('Cálculo-Instalação Colectiva-MP'!$I$5&lt;&gt;1,S54="",S54=0),"",IF(OR(AND(G54&lt;&gt;"",H54=""),AND(G54="",H54&lt;&gt;"")),1,2))</f>
        <v/>
      </c>
      <c r="AY54" s="241">
        <f t="shared" si="116"/>
        <v>0</v>
      </c>
      <c r="AZ54" s="263" t="str">
        <f t="shared" si="117"/>
        <v/>
      </c>
      <c r="BA54" s="263" t="str">
        <f t="shared" si="118"/>
        <v/>
      </c>
      <c r="BB54" s="263"/>
      <c r="BI54" s="350" t="str">
        <f t="shared" si="162"/>
        <v>0</v>
      </c>
      <c r="BJ54" s="350">
        <f t="shared" si="163"/>
        <v>0</v>
      </c>
      <c r="BM54" s="911" t="str">
        <f t="shared" si="164"/>
        <v/>
      </c>
      <c r="BV54" s="350" t="str">
        <f t="shared" si="165"/>
        <v/>
      </c>
      <c r="BW54" s="235" t="str">
        <f t="shared" si="166"/>
        <v/>
      </c>
      <c r="BX54" s="235" t="str">
        <f t="shared" si="167"/>
        <v/>
      </c>
      <c r="BY54" s="235" t="str">
        <f t="shared" si="168"/>
        <v/>
      </c>
      <c r="BZ54" s="235" t="str">
        <f t="shared" si="169"/>
        <v/>
      </c>
      <c r="CA54" s="235" t="str">
        <f t="shared" si="170"/>
        <v/>
      </c>
      <c r="CB54" s="235" t="str">
        <f t="shared" si="171"/>
        <v/>
      </c>
      <c r="CC54" s="235" t="str">
        <f t="shared" si="172"/>
        <v/>
      </c>
      <c r="CD54" s="235" t="str">
        <f t="shared" si="173"/>
        <v/>
      </c>
      <c r="CE54" s="235" t="str">
        <f t="shared" si="174"/>
        <v/>
      </c>
      <c r="CF54" s="235" t="str">
        <f t="shared" si="175"/>
        <v/>
      </c>
      <c r="CQ54" s="2">
        <v>8</v>
      </c>
      <c r="CV54" s="209" t="str">
        <f t="shared" si="199"/>
        <v/>
      </c>
      <c r="CW54" s="204" t="str">
        <f t="shared" si="200"/>
        <v/>
      </c>
      <c r="CX54" s="43">
        <f t="shared" si="201"/>
        <v>0</v>
      </c>
      <c r="CY54" s="163" t="str">
        <f t="shared" si="119"/>
        <v/>
      </c>
      <c r="CZ54" s="45" t="str">
        <f t="shared" si="120"/>
        <v/>
      </c>
      <c r="DA54" s="46">
        <f t="shared" si="121"/>
        <v>0</v>
      </c>
      <c r="DB54" s="47" t="str">
        <f t="shared" si="122"/>
        <v/>
      </c>
      <c r="DC54" s="91">
        <f t="shared" si="123"/>
        <v>0</v>
      </c>
      <c r="DD54" s="91">
        <f t="shared" si="124"/>
        <v>0</v>
      </c>
      <c r="DE54" s="91"/>
      <c r="DF54" s="48">
        <f>IF(OR(DB54="",DB54=0),0,MAX(DC54:DD54:DE54))</f>
        <v>0</v>
      </c>
      <c r="DG54" s="115" t="str">
        <f t="shared" si="176"/>
        <v/>
      </c>
      <c r="DH54" s="51" t="str">
        <f t="shared" si="177"/>
        <v/>
      </c>
      <c r="DI54" s="51"/>
      <c r="DJ54" s="49" t="str">
        <f t="shared" si="178"/>
        <v/>
      </c>
      <c r="DK54" s="91">
        <f t="shared" si="125"/>
        <v>0</v>
      </c>
      <c r="DL54" s="91">
        <f t="shared" si="126"/>
        <v>0</v>
      </c>
      <c r="DM54" s="91"/>
      <c r="DN54" s="48">
        <f>IF(OR(DJ54="",DJ54=0),0,MAX(DK54:DL54:DM54))</f>
        <v>0</v>
      </c>
      <c r="DO54" s="115" t="str">
        <f t="shared" si="179"/>
        <v/>
      </c>
      <c r="DP54" s="51" t="str">
        <f t="shared" si="180"/>
        <v/>
      </c>
      <c r="DQ54" s="51"/>
      <c r="DR54" s="49" t="str">
        <f t="shared" si="127"/>
        <v/>
      </c>
      <c r="DS54" s="91">
        <f t="shared" si="128"/>
        <v>0</v>
      </c>
      <c r="DT54" s="91">
        <f t="shared" si="129"/>
        <v>0</v>
      </c>
      <c r="DU54" s="91"/>
      <c r="DV54" s="48">
        <f>IF(OR(DR54="",DR54=0),0,MAX(DS54:DT54:DU54))</f>
        <v>0</v>
      </c>
      <c r="DW54" s="115" t="str">
        <f t="shared" si="181"/>
        <v/>
      </c>
      <c r="DX54" s="51" t="str">
        <f t="shared" si="182"/>
        <v/>
      </c>
      <c r="DY54" s="51"/>
      <c r="DZ54" s="49" t="str">
        <f t="shared" si="130"/>
        <v/>
      </c>
      <c r="EA54" s="91">
        <f t="shared" si="131"/>
        <v>0</v>
      </c>
      <c r="EB54" s="91">
        <f t="shared" si="132"/>
        <v>0</v>
      </c>
      <c r="EC54" s="91"/>
      <c r="ED54" s="48">
        <f>IF(OR(DZ54="",DZ54=0),0,MAX(EA54:EB54:EC54))</f>
        <v>0</v>
      </c>
      <c r="EE54" s="115" t="str">
        <f t="shared" si="183"/>
        <v/>
      </c>
      <c r="EF54" s="51" t="str">
        <f t="shared" si="184"/>
        <v/>
      </c>
      <c r="EG54" s="51"/>
      <c r="EH54" s="49" t="str">
        <f t="shared" si="133"/>
        <v/>
      </c>
      <c r="EI54" s="91">
        <f t="shared" si="134"/>
        <v>0</v>
      </c>
      <c r="EJ54" s="91">
        <f t="shared" si="135"/>
        <v>0</v>
      </c>
      <c r="EK54" s="91"/>
      <c r="EL54" s="48">
        <f>IF(OR(EH54="",EH54=0),0,MAX(EI54:EJ54:EK54))</f>
        <v>0</v>
      </c>
      <c r="EM54" s="115" t="str">
        <f t="shared" si="185"/>
        <v/>
      </c>
      <c r="EN54" s="51" t="str">
        <f t="shared" si="186"/>
        <v/>
      </c>
      <c r="EO54" s="51"/>
      <c r="EP54" s="49" t="str">
        <f t="shared" si="136"/>
        <v/>
      </c>
      <c r="EQ54" s="91">
        <f t="shared" si="137"/>
        <v>0</v>
      </c>
      <c r="ER54" s="91">
        <f t="shared" si="138"/>
        <v>0</v>
      </c>
      <c r="ES54" s="91"/>
      <c r="ET54" s="48">
        <f>IF(OR(EP54="",EP54=0),0,MAX(EQ54:ER54:ES54))</f>
        <v>0</v>
      </c>
      <c r="EU54" s="115" t="str">
        <f t="shared" si="187"/>
        <v/>
      </c>
      <c r="EV54" s="51" t="str">
        <f t="shared" si="188"/>
        <v/>
      </c>
      <c r="EW54" s="51"/>
      <c r="EX54" s="49" t="str">
        <f t="shared" si="139"/>
        <v/>
      </c>
      <c r="EY54" s="91">
        <f t="shared" si="140"/>
        <v>0</v>
      </c>
      <c r="EZ54" s="91">
        <f t="shared" si="141"/>
        <v>0</v>
      </c>
      <c r="FA54" s="91"/>
      <c r="FB54" s="48">
        <f>IF(OR(EX54="",EX54=0),0,MAX(EY54:EZ54:FA54))</f>
        <v>0</v>
      </c>
      <c r="FC54" s="115" t="str">
        <f t="shared" si="189"/>
        <v/>
      </c>
      <c r="FD54" s="51" t="str">
        <f t="shared" si="190"/>
        <v/>
      </c>
      <c r="FE54" s="51"/>
      <c r="FF54" s="49" t="str">
        <f t="shared" si="142"/>
        <v/>
      </c>
      <c r="FG54" s="91">
        <f t="shared" si="143"/>
        <v>0</v>
      </c>
      <c r="FH54" s="91">
        <f t="shared" si="144"/>
        <v>0</v>
      </c>
      <c r="FI54" s="91"/>
      <c r="FJ54" s="48">
        <f>IF(OR(FF54="",FF54=0),0,MAX(FG54:FH54:FI54))</f>
        <v>0</v>
      </c>
      <c r="FK54" s="115" t="str">
        <f t="shared" si="191"/>
        <v/>
      </c>
      <c r="FL54" s="51" t="str">
        <f t="shared" si="192"/>
        <v/>
      </c>
      <c r="FM54" s="51"/>
      <c r="FN54" s="49" t="str">
        <f t="shared" si="145"/>
        <v/>
      </c>
      <c r="FO54" s="91">
        <f t="shared" si="146"/>
        <v>0</v>
      </c>
      <c r="FP54" s="91">
        <f t="shared" si="147"/>
        <v>0</v>
      </c>
      <c r="FQ54" s="91"/>
      <c r="FR54" s="48">
        <f>IF(OR(FN54="",FN54=0),0,MAX(FO54:FP54:FQ54))</f>
        <v>0</v>
      </c>
      <c r="FS54" s="115" t="str">
        <f t="shared" si="193"/>
        <v/>
      </c>
      <c r="FT54" s="51" t="str">
        <f t="shared" si="194"/>
        <v/>
      </c>
      <c r="FU54" s="51"/>
      <c r="FV54" s="49" t="str">
        <f t="shared" si="148"/>
        <v/>
      </c>
      <c r="FW54" s="91">
        <f t="shared" si="149"/>
        <v>0</v>
      </c>
      <c r="FX54" s="91">
        <f t="shared" si="150"/>
        <v>0</v>
      </c>
      <c r="FY54" s="91"/>
      <c r="FZ54" s="48">
        <f>IF(OR(FV54="",FV54=0),0,MAX(FW54:FX54:FY54))</f>
        <v>0</v>
      </c>
      <c r="GA54" s="115" t="str">
        <f t="shared" si="195"/>
        <v/>
      </c>
      <c r="GB54" s="51" t="str">
        <f t="shared" si="196"/>
        <v/>
      </c>
      <c r="GC54" s="51"/>
      <c r="GD54" s="49" t="str">
        <f t="shared" si="151"/>
        <v/>
      </c>
      <c r="GE54" s="91">
        <f t="shared" si="152"/>
        <v>0</v>
      </c>
      <c r="GF54" s="91">
        <f t="shared" si="153"/>
        <v>0</v>
      </c>
      <c r="GG54" s="91"/>
      <c r="GH54" s="48">
        <f>IF(OR(GD54="",GD54=0),0,MAX(GE54:GF54:GG54))</f>
        <v>0</v>
      </c>
    </row>
    <row r="55" spans="1:193" s="16" customFormat="1" ht="18" customHeight="1" thickTop="1" thickBot="1" x14ac:dyDescent="0.35">
      <c r="A55" s="902" t="str">
        <f t="shared" si="154"/>
        <v/>
      </c>
      <c r="B55" s="826" t="str">
        <f t="shared" si="155"/>
        <v/>
      </c>
      <c r="C55" s="843" t="str">
        <f>IF(B55="","",SUM(B$47:B55))</f>
        <v/>
      </c>
      <c r="D55" s="958"/>
      <c r="E55" s="959"/>
      <c r="F55" s="948" t="str">
        <f t="shared" si="202"/>
        <v/>
      </c>
      <c r="G55" s="961"/>
      <c r="H55" s="961"/>
      <c r="I55" s="964" t="str">
        <f t="shared" si="105"/>
        <v/>
      </c>
      <c r="J55" s="964" t="str">
        <f t="shared" si="106"/>
        <v/>
      </c>
      <c r="K55" s="965">
        <f t="shared" si="107"/>
        <v>0</v>
      </c>
      <c r="L55" s="966">
        <f t="shared" si="108"/>
        <v>0</v>
      </c>
      <c r="M55" s="955"/>
      <c r="N55" s="956"/>
      <c r="O55" s="950"/>
      <c r="P55" s="927" t="str">
        <f>IF(M55="","",IF(O55="",ABS(M55)*(1+'Cálculo-Instalação Colectiva-MP'!$L$13),ABS(M55)+O55))</f>
        <v/>
      </c>
      <c r="Q55" s="928" t="str">
        <f t="shared" si="109"/>
        <v/>
      </c>
      <c r="R55" s="935" t="str">
        <f t="shared" si="110"/>
        <v/>
      </c>
      <c r="S55" s="111" t="str">
        <f t="shared" si="111"/>
        <v/>
      </c>
      <c r="T55" s="926"/>
      <c r="U55" s="610" t="str">
        <f>IF(S55="","",IF(T55&lt;&gt;"",T55,S55))</f>
        <v/>
      </c>
      <c r="V55" s="936" t="str">
        <f>IF(OR(S55="",S55=0),"",IF($U55&gt;'Quadro 3'!$F$23,'Quadro 3'!$F$23,IF($U55&lt;'Quadro 3'!$F$10,'Quadro 3'!$F$10,MIN($W55,$X55))))</f>
        <v/>
      </c>
      <c r="W55" s="937" t="str">
        <f>IF(AND(AW55&lt;&gt;2,$U55&lt;='Quadro 3'!$F$10),'Quadro 3'!$F$10,IF($U55&lt;='Quadro 3'!$F$11,'Quadro 3'!$F$11,IF($U55&lt;='Quadro 3'!$F$12,'Quadro 3'!$F$12,IF($U55&lt;='Quadro 3'!$F$13,'Quadro 3'!$F$13,IF($U55&lt;='Quadro 3'!$F$14,'Quadro 3'!$F$14,IF($U55&lt;='Quadro 3'!$F$15,'Quadro 3'!$F$15,IF($U55&lt;='Quadro 3'!$F$16,'Quadro 3'!$F$16,"")))))))</f>
        <v/>
      </c>
      <c r="X55" s="938" t="str">
        <f>IF(OR(S55="",S55=0),"",IF($U55&lt;='Quadro 3'!$F$17,'Quadro 3'!$F$17,IF($U55&lt;='Quadro 3'!$F$18,'Quadro 3'!$F$18,IF($U55&lt;='Quadro 3'!$F$19,'Quadro 3'!$F$19,IF($U55&lt;='Quadro 3'!$F$20,'Quadro 3'!$F$20,IF($U55&lt;='Quadro 3'!$F$21,'Quadro 3'!$F$21,IF($U55&lt;='Quadro 3'!$F$22,'Quadro 3'!$F$22,IF($U55&lt;='Quadro 3'!$F$23,'Quadro 3'!$F$23,'Quadro 3'!$F$23))))))))</f>
        <v/>
      </c>
      <c r="Y55" s="936" t="str">
        <f>IF($V55="","",LOOKUP($V55,'Quadro 3'!$F$9:$F$23,'Quadro 3'!$G$9:$G$23))</f>
        <v/>
      </c>
      <c r="Z55" s="1129" t="str">
        <f>IF($V55="","",LOOKUP($V55,'Quadro 3'!$F$9:$F$23,'Quadro 3'!$D$9:$D$23))</f>
        <v/>
      </c>
      <c r="AA55" s="939" t="str">
        <f>IF($V55="","",LOOKUP($V55,'Quadro 3'!$F$9:$F$23,'Quadro 3'!$E$9:$E$23))</f>
        <v/>
      </c>
      <c r="AB55" s="929" t="str">
        <f t="shared" si="112"/>
        <v/>
      </c>
      <c r="AC55" s="930" t="str">
        <f t="shared" si="198"/>
        <v/>
      </c>
      <c r="AD55" s="942" t="str">
        <f t="shared" si="156"/>
        <v/>
      </c>
      <c r="AE55" s="1124" t="str">
        <f t="shared" si="157"/>
        <v/>
      </c>
      <c r="AF55" s="931" t="str">
        <f>IF(AD55="","",(AB55-AD55))</f>
        <v/>
      </c>
      <c r="AG55" s="943" t="str">
        <f t="shared" si="158"/>
        <v/>
      </c>
      <c r="AH55" s="1153" t="str">
        <f t="shared" si="114"/>
        <v/>
      </c>
      <c r="AI55" s="1154"/>
      <c r="AJ55" s="940"/>
      <c r="AK55" s="942"/>
      <c r="AL55" s="933" t="str">
        <f t="shared" si="159"/>
        <v/>
      </c>
      <c r="AM55" s="1153" t="str">
        <f t="shared" si="115"/>
        <v/>
      </c>
      <c r="AN55" s="1154"/>
      <c r="AO55" s="17"/>
      <c r="AP55" s="909" t="str">
        <f t="shared" si="160"/>
        <v/>
      </c>
      <c r="AV55" s="1117">
        <f t="shared" si="161"/>
        <v>0</v>
      </c>
      <c r="AW55" s="906" t="str">
        <f>IF(OR('Cálculo-Instalação Colectiva-MP'!$I$5&lt;&gt;1,S55="",S55=0),"",IF(OR(AND(G55&lt;&gt;"",H55=""),AND(G55="",H55&lt;&gt;"")),1,2))</f>
        <v/>
      </c>
      <c r="AY55" s="241">
        <f t="shared" si="116"/>
        <v>0</v>
      </c>
      <c r="AZ55" s="263" t="str">
        <f t="shared" si="117"/>
        <v/>
      </c>
      <c r="BA55" s="263" t="str">
        <f t="shared" si="118"/>
        <v/>
      </c>
      <c r="BB55" s="263"/>
      <c r="BI55" s="350" t="str">
        <f t="shared" si="162"/>
        <v>0</v>
      </c>
      <c r="BJ55" s="350">
        <f t="shared" si="163"/>
        <v>0</v>
      </c>
      <c r="BM55" s="911" t="str">
        <f t="shared" si="164"/>
        <v/>
      </c>
      <c r="BV55" s="350" t="str">
        <f t="shared" si="165"/>
        <v/>
      </c>
      <c r="BW55" s="235" t="str">
        <f t="shared" si="166"/>
        <v/>
      </c>
      <c r="BX55" s="235" t="str">
        <f t="shared" si="167"/>
        <v/>
      </c>
      <c r="BY55" s="235" t="str">
        <f t="shared" si="168"/>
        <v/>
      </c>
      <c r="BZ55" s="235" t="str">
        <f t="shared" si="169"/>
        <v/>
      </c>
      <c r="CA55" s="235" t="str">
        <f t="shared" si="170"/>
        <v/>
      </c>
      <c r="CB55" s="235" t="str">
        <f t="shared" si="171"/>
        <v/>
      </c>
      <c r="CC55" s="235" t="str">
        <f t="shared" si="172"/>
        <v/>
      </c>
      <c r="CD55" s="235" t="str">
        <f t="shared" si="173"/>
        <v/>
      </c>
      <c r="CE55" s="235" t="str">
        <f t="shared" si="174"/>
        <v/>
      </c>
      <c r="CF55" s="235" t="str">
        <f t="shared" si="175"/>
        <v/>
      </c>
      <c r="CQ55" s="2">
        <v>9</v>
      </c>
      <c r="CV55" s="209" t="str">
        <f t="shared" si="199"/>
        <v/>
      </c>
      <c r="CW55" s="204" t="str">
        <f t="shared" si="200"/>
        <v/>
      </c>
      <c r="CX55" s="43">
        <f t="shared" si="201"/>
        <v>0</v>
      </c>
      <c r="CY55" s="163" t="str">
        <f t="shared" si="119"/>
        <v/>
      </c>
      <c r="CZ55" s="45" t="str">
        <f t="shared" si="120"/>
        <v/>
      </c>
      <c r="DA55" s="46">
        <f t="shared" si="121"/>
        <v>0</v>
      </c>
      <c r="DB55" s="47" t="str">
        <f t="shared" si="122"/>
        <v/>
      </c>
      <c r="DC55" s="91">
        <f t="shared" si="123"/>
        <v>0</v>
      </c>
      <c r="DD55" s="91">
        <f t="shared" si="124"/>
        <v>0</v>
      </c>
      <c r="DE55" s="91"/>
      <c r="DF55" s="48">
        <f>IF(OR(DB55="",DB55=0),0,MAX(DC55:DD55:DE55))</f>
        <v>0</v>
      </c>
      <c r="DG55" s="115" t="str">
        <f t="shared" si="176"/>
        <v/>
      </c>
      <c r="DH55" s="51" t="str">
        <f t="shared" si="177"/>
        <v/>
      </c>
      <c r="DI55" s="51"/>
      <c r="DJ55" s="49" t="str">
        <f t="shared" si="178"/>
        <v/>
      </c>
      <c r="DK55" s="91">
        <f t="shared" si="125"/>
        <v>0</v>
      </c>
      <c r="DL55" s="91">
        <f t="shared" si="126"/>
        <v>0</v>
      </c>
      <c r="DM55" s="91"/>
      <c r="DN55" s="48">
        <f>IF(OR(DJ55="",DJ55=0),0,MAX(DK55:DL55:DM55))</f>
        <v>0</v>
      </c>
      <c r="DO55" s="115" t="str">
        <f t="shared" si="179"/>
        <v/>
      </c>
      <c r="DP55" s="51" t="str">
        <f t="shared" si="180"/>
        <v/>
      </c>
      <c r="DQ55" s="51"/>
      <c r="DR55" s="49" t="str">
        <f t="shared" si="127"/>
        <v/>
      </c>
      <c r="DS55" s="91">
        <f t="shared" si="128"/>
        <v>0</v>
      </c>
      <c r="DT55" s="91">
        <f t="shared" si="129"/>
        <v>0</v>
      </c>
      <c r="DU55" s="91"/>
      <c r="DV55" s="48">
        <f>IF(OR(DR55="",DR55=0),0,MAX(DS55:DT55:DU55))</f>
        <v>0</v>
      </c>
      <c r="DW55" s="115" t="str">
        <f t="shared" si="181"/>
        <v/>
      </c>
      <c r="DX55" s="51" t="str">
        <f t="shared" si="182"/>
        <v/>
      </c>
      <c r="DY55" s="51"/>
      <c r="DZ55" s="49" t="str">
        <f t="shared" si="130"/>
        <v/>
      </c>
      <c r="EA55" s="91">
        <f t="shared" si="131"/>
        <v>0</v>
      </c>
      <c r="EB55" s="91">
        <f t="shared" si="132"/>
        <v>0</v>
      </c>
      <c r="EC55" s="91"/>
      <c r="ED55" s="48">
        <f>IF(OR(DZ55="",DZ55=0),0,MAX(EA55:EB55:EC55))</f>
        <v>0</v>
      </c>
      <c r="EE55" s="115" t="str">
        <f t="shared" si="183"/>
        <v/>
      </c>
      <c r="EF55" s="51" t="str">
        <f t="shared" si="184"/>
        <v/>
      </c>
      <c r="EG55" s="51"/>
      <c r="EH55" s="49" t="str">
        <f t="shared" si="133"/>
        <v/>
      </c>
      <c r="EI55" s="91">
        <f t="shared" si="134"/>
        <v>0</v>
      </c>
      <c r="EJ55" s="91">
        <f t="shared" si="135"/>
        <v>0</v>
      </c>
      <c r="EK55" s="91"/>
      <c r="EL55" s="48">
        <f>IF(OR(EH55="",EH55=0),0,MAX(EI55:EJ55:EK55))</f>
        <v>0</v>
      </c>
      <c r="EM55" s="115" t="str">
        <f t="shared" si="185"/>
        <v/>
      </c>
      <c r="EN55" s="51" t="str">
        <f t="shared" si="186"/>
        <v/>
      </c>
      <c r="EO55" s="51"/>
      <c r="EP55" s="49" t="str">
        <f t="shared" si="136"/>
        <v/>
      </c>
      <c r="EQ55" s="91">
        <f t="shared" si="137"/>
        <v>0</v>
      </c>
      <c r="ER55" s="91">
        <f t="shared" si="138"/>
        <v>0</v>
      </c>
      <c r="ES55" s="91"/>
      <c r="ET55" s="48">
        <f>IF(OR(EP55="",EP55=0),0,MAX(EQ55:ER55:ES55))</f>
        <v>0</v>
      </c>
      <c r="EU55" s="115" t="str">
        <f t="shared" si="187"/>
        <v/>
      </c>
      <c r="EV55" s="51" t="str">
        <f t="shared" si="188"/>
        <v/>
      </c>
      <c r="EW55" s="51"/>
      <c r="EX55" s="49" t="str">
        <f t="shared" si="139"/>
        <v/>
      </c>
      <c r="EY55" s="91">
        <f t="shared" si="140"/>
        <v>0</v>
      </c>
      <c r="EZ55" s="91">
        <f t="shared" si="141"/>
        <v>0</v>
      </c>
      <c r="FA55" s="91"/>
      <c r="FB55" s="48">
        <f>IF(OR(EX55="",EX55=0),0,MAX(EY55:EZ55:FA55))</f>
        <v>0</v>
      </c>
      <c r="FC55" s="115" t="str">
        <f t="shared" si="189"/>
        <v/>
      </c>
      <c r="FD55" s="51" t="str">
        <f t="shared" si="190"/>
        <v/>
      </c>
      <c r="FE55" s="51"/>
      <c r="FF55" s="49" t="str">
        <f t="shared" si="142"/>
        <v/>
      </c>
      <c r="FG55" s="91">
        <f t="shared" si="143"/>
        <v>0</v>
      </c>
      <c r="FH55" s="91">
        <f t="shared" si="144"/>
        <v>0</v>
      </c>
      <c r="FI55" s="91"/>
      <c r="FJ55" s="48">
        <f>IF(OR(FF55="",FF55=0),0,MAX(FG55:FH55:FI55))</f>
        <v>0</v>
      </c>
      <c r="FK55" s="115" t="str">
        <f t="shared" si="191"/>
        <v/>
      </c>
      <c r="FL55" s="51" t="str">
        <f t="shared" si="192"/>
        <v/>
      </c>
      <c r="FM55" s="51"/>
      <c r="FN55" s="49" t="str">
        <f t="shared" si="145"/>
        <v/>
      </c>
      <c r="FO55" s="91">
        <f t="shared" si="146"/>
        <v>0</v>
      </c>
      <c r="FP55" s="91">
        <f t="shared" si="147"/>
        <v>0</v>
      </c>
      <c r="FQ55" s="91"/>
      <c r="FR55" s="48">
        <f>IF(OR(FN55="",FN55=0),0,MAX(FO55:FP55:FQ55))</f>
        <v>0</v>
      </c>
      <c r="FS55" s="115" t="str">
        <f t="shared" si="193"/>
        <v/>
      </c>
      <c r="FT55" s="51" t="str">
        <f t="shared" si="194"/>
        <v/>
      </c>
      <c r="FU55" s="51"/>
      <c r="FV55" s="49" t="str">
        <f t="shared" si="148"/>
        <v/>
      </c>
      <c r="FW55" s="91">
        <f t="shared" si="149"/>
        <v>0</v>
      </c>
      <c r="FX55" s="91">
        <f t="shared" si="150"/>
        <v>0</v>
      </c>
      <c r="FY55" s="91"/>
      <c r="FZ55" s="48">
        <f>IF(OR(FV55="",FV55=0),0,MAX(FW55:FX55:FY55))</f>
        <v>0</v>
      </c>
      <c r="GA55" s="115" t="str">
        <f t="shared" si="195"/>
        <v/>
      </c>
      <c r="GB55" s="51" t="str">
        <f t="shared" si="196"/>
        <v/>
      </c>
      <c r="GC55" s="51"/>
      <c r="GD55" s="49" t="str">
        <f t="shared" si="151"/>
        <v/>
      </c>
      <c r="GE55" s="91">
        <f t="shared" si="152"/>
        <v>0</v>
      </c>
      <c r="GF55" s="91">
        <f t="shared" si="153"/>
        <v>0</v>
      </c>
      <c r="GG55" s="91"/>
      <c r="GH55" s="48">
        <f>IF(OR(GD55="",GD55=0),0,MAX(GE55:GF55:GG55))</f>
        <v>0</v>
      </c>
    </row>
    <row r="56" spans="1:193" s="16" customFormat="1" ht="18" customHeight="1" thickTop="1" thickBot="1" x14ac:dyDescent="0.35">
      <c r="A56" s="902" t="str">
        <f t="shared" si="154"/>
        <v/>
      </c>
      <c r="B56" s="826" t="str">
        <f t="shared" si="155"/>
        <v/>
      </c>
      <c r="C56" s="843" t="str">
        <f>IF(B56="","",SUM(B$47:B56))</f>
        <v/>
      </c>
      <c r="D56" s="958"/>
      <c r="E56" s="959"/>
      <c r="F56" s="948" t="str">
        <f t="shared" si="202"/>
        <v/>
      </c>
      <c r="G56" s="961"/>
      <c r="H56" s="961"/>
      <c r="I56" s="964" t="str">
        <f t="shared" si="105"/>
        <v/>
      </c>
      <c r="J56" s="964" t="str">
        <f t="shared" si="106"/>
        <v/>
      </c>
      <c r="K56" s="965">
        <f t="shared" si="107"/>
        <v>0</v>
      </c>
      <c r="L56" s="966">
        <f t="shared" si="108"/>
        <v>0</v>
      </c>
      <c r="M56" s="955"/>
      <c r="N56" s="956"/>
      <c r="O56" s="950"/>
      <c r="P56" s="927" t="str">
        <f>IF(M56="","",IF(O56="",ABS(M56)*(1+'Cálculo-Instalação Colectiva-MP'!$L$13),ABS(M56)+O56))</f>
        <v/>
      </c>
      <c r="Q56" s="928" t="str">
        <f t="shared" si="109"/>
        <v/>
      </c>
      <c r="R56" s="935" t="str">
        <f t="shared" si="110"/>
        <v/>
      </c>
      <c r="S56" s="111" t="str">
        <f t="shared" si="111"/>
        <v/>
      </c>
      <c r="T56" s="926"/>
      <c r="U56" s="610" t="str">
        <f>IF(S56="","",IF(T56&lt;&gt;"",T56,S56))</f>
        <v/>
      </c>
      <c r="V56" s="936" t="str">
        <f>IF(OR(S56="",S56=0),"",IF($U56&gt;'Quadro 3'!$F$23,'Quadro 3'!$F$23,IF($U56&lt;'Quadro 3'!$F$10,'Quadro 3'!$F$10,MIN($W56,$X56))))</f>
        <v/>
      </c>
      <c r="W56" s="937" t="str">
        <f>IF(AND(AW56&lt;&gt;2,$U56&lt;='Quadro 3'!$F$10),'Quadro 3'!$F$10,IF($U56&lt;='Quadro 3'!$F$11,'Quadro 3'!$F$11,IF($U56&lt;='Quadro 3'!$F$12,'Quadro 3'!$F$12,IF($U56&lt;='Quadro 3'!$F$13,'Quadro 3'!$F$13,IF($U56&lt;='Quadro 3'!$F$14,'Quadro 3'!$F$14,IF($U56&lt;='Quadro 3'!$F$15,'Quadro 3'!$F$15,IF($U56&lt;='Quadro 3'!$F$16,'Quadro 3'!$F$16,"")))))))</f>
        <v/>
      </c>
      <c r="X56" s="938" t="str">
        <f>IF(OR(S56="",S56=0),"",IF($U56&lt;='Quadro 3'!$F$17,'Quadro 3'!$F$17,IF($U56&lt;='Quadro 3'!$F$18,'Quadro 3'!$F$18,IF($U56&lt;='Quadro 3'!$F$19,'Quadro 3'!$F$19,IF($U56&lt;='Quadro 3'!$F$20,'Quadro 3'!$F$20,IF($U56&lt;='Quadro 3'!$F$21,'Quadro 3'!$F$21,IF($U56&lt;='Quadro 3'!$F$22,'Quadro 3'!$F$22,IF($U56&lt;='Quadro 3'!$F$23,'Quadro 3'!$F$23,'Quadro 3'!$F$23))))))))</f>
        <v/>
      </c>
      <c r="Y56" s="936" t="str">
        <f>IF($V56="","",LOOKUP($V56,'Quadro 3'!$F$9:$F$23,'Quadro 3'!$G$9:$G$23))</f>
        <v/>
      </c>
      <c r="Z56" s="1129" t="str">
        <f>IF($V56="","",LOOKUP($V56,'Quadro 3'!$F$9:$F$23,'Quadro 3'!$D$9:$D$23))</f>
        <v/>
      </c>
      <c r="AA56" s="939" t="str">
        <f>IF($V56="","",LOOKUP($V56,'Quadro 3'!$F$9:$F$23,'Quadro 3'!$E$9:$E$23))</f>
        <v/>
      </c>
      <c r="AB56" s="929" t="str">
        <f t="shared" si="112"/>
        <v/>
      </c>
      <c r="AC56" s="930" t="str">
        <f t="shared" si="198"/>
        <v/>
      </c>
      <c r="AD56" s="942" t="str">
        <f t="shared" si="156"/>
        <v/>
      </c>
      <c r="AE56" s="1124" t="str">
        <f t="shared" si="157"/>
        <v/>
      </c>
      <c r="AF56" s="945" t="str">
        <f>IF(AD56="","",(AB56-AD56))</f>
        <v/>
      </c>
      <c r="AG56" s="943" t="str">
        <f t="shared" si="158"/>
        <v/>
      </c>
      <c r="AH56" s="1153" t="str">
        <f t="shared" si="114"/>
        <v/>
      </c>
      <c r="AI56" s="1154"/>
      <c r="AJ56" s="940"/>
      <c r="AK56" s="944"/>
      <c r="AL56" s="933" t="str">
        <f t="shared" si="159"/>
        <v/>
      </c>
      <c r="AM56" s="1153" t="str">
        <f t="shared" si="115"/>
        <v/>
      </c>
      <c r="AN56" s="1154"/>
      <c r="AO56" s="17"/>
      <c r="AP56" s="909" t="str">
        <f t="shared" si="160"/>
        <v/>
      </c>
      <c r="AV56" s="1117">
        <f t="shared" si="161"/>
        <v>0</v>
      </c>
      <c r="AW56" s="906" t="str">
        <f>IF(OR('Cálculo-Instalação Colectiva-MP'!$I$5&lt;&gt;1,S56="",S56=0),"",IF(OR(AND(G56&lt;&gt;"",H56=""),AND(G56="",H56&lt;&gt;"")),1,2))</f>
        <v/>
      </c>
      <c r="AY56" s="241">
        <f t="shared" si="116"/>
        <v>0</v>
      </c>
      <c r="AZ56" s="263" t="str">
        <f t="shared" si="117"/>
        <v/>
      </c>
      <c r="BA56" s="263" t="str">
        <f t="shared" si="118"/>
        <v/>
      </c>
      <c r="BB56" s="263"/>
      <c r="BI56" s="350" t="str">
        <f t="shared" si="162"/>
        <v>0</v>
      </c>
      <c r="BJ56" s="350">
        <f t="shared" si="163"/>
        <v>0</v>
      </c>
      <c r="BM56" s="911" t="str">
        <f t="shared" si="164"/>
        <v/>
      </c>
      <c r="BV56" s="350" t="str">
        <f t="shared" si="165"/>
        <v/>
      </c>
      <c r="BW56" s="235" t="str">
        <f t="shared" si="166"/>
        <v/>
      </c>
      <c r="BX56" s="235" t="str">
        <f t="shared" si="167"/>
        <v/>
      </c>
      <c r="BY56" s="235" t="str">
        <f t="shared" si="168"/>
        <v/>
      </c>
      <c r="BZ56" s="235" t="str">
        <f t="shared" si="169"/>
        <v/>
      </c>
      <c r="CA56" s="235" t="str">
        <f t="shared" si="170"/>
        <v/>
      </c>
      <c r="CB56" s="235" t="str">
        <f t="shared" si="171"/>
        <v/>
      </c>
      <c r="CC56" s="235" t="str">
        <f t="shared" si="172"/>
        <v/>
      </c>
      <c r="CD56" s="235" t="str">
        <f t="shared" si="173"/>
        <v/>
      </c>
      <c r="CE56" s="235" t="str">
        <f t="shared" si="174"/>
        <v/>
      </c>
      <c r="CF56" s="235" t="str">
        <f t="shared" si="175"/>
        <v/>
      </c>
      <c r="CQ56" s="2">
        <v>10</v>
      </c>
      <c r="CV56" s="209" t="str">
        <f t="shared" si="199"/>
        <v/>
      </c>
      <c r="CW56" s="204" t="str">
        <f t="shared" si="200"/>
        <v/>
      </c>
      <c r="CX56" s="43">
        <f t="shared" si="201"/>
        <v>0</v>
      </c>
      <c r="CY56" s="163" t="str">
        <f t="shared" si="119"/>
        <v/>
      </c>
      <c r="CZ56" s="45" t="str">
        <f t="shared" si="120"/>
        <v/>
      </c>
      <c r="DA56" s="46">
        <f t="shared" si="121"/>
        <v>0</v>
      </c>
      <c r="DB56" s="47" t="str">
        <f t="shared" si="122"/>
        <v/>
      </c>
      <c r="DC56" s="91">
        <f t="shared" si="123"/>
        <v>0</v>
      </c>
      <c r="DD56" s="91">
        <f t="shared" si="124"/>
        <v>0</v>
      </c>
      <c r="DE56" s="91"/>
      <c r="DF56" s="48">
        <f>IF(OR(DB56="",DB56=0),0,MAX(DC56:DD56:DE56))</f>
        <v>0</v>
      </c>
      <c r="DG56" s="115" t="str">
        <f t="shared" si="176"/>
        <v/>
      </c>
      <c r="DH56" s="51" t="str">
        <f t="shared" si="177"/>
        <v/>
      </c>
      <c r="DI56" s="51"/>
      <c r="DJ56" s="49" t="str">
        <f t="shared" si="178"/>
        <v/>
      </c>
      <c r="DK56" s="91">
        <f t="shared" si="125"/>
        <v>0</v>
      </c>
      <c r="DL56" s="91">
        <f t="shared" si="126"/>
        <v>0</v>
      </c>
      <c r="DM56" s="91"/>
      <c r="DN56" s="48">
        <f>IF(OR(DJ56="",DJ56=0),0,MAX(DK56:DL56:DM56))</f>
        <v>0</v>
      </c>
      <c r="DO56" s="115" t="str">
        <f t="shared" si="179"/>
        <v/>
      </c>
      <c r="DP56" s="51" t="str">
        <f t="shared" si="180"/>
        <v/>
      </c>
      <c r="DQ56" s="51"/>
      <c r="DR56" s="49" t="str">
        <f t="shared" si="127"/>
        <v/>
      </c>
      <c r="DS56" s="91">
        <f t="shared" si="128"/>
        <v>0</v>
      </c>
      <c r="DT56" s="91">
        <f t="shared" si="129"/>
        <v>0</v>
      </c>
      <c r="DU56" s="91"/>
      <c r="DV56" s="48">
        <f>IF(OR(DR56="",DR56=0),0,MAX(DS56:DT56:DU56))</f>
        <v>0</v>
      </c>
      <c r="DW56" s="115" t="str">
        <f t="shared" si="181"/>
        <v/>
      </c>
      <c r="DX56" s="51" t="str">
        <f t="shared" si="182"/>
        <v/>
      </c>
      <c r="DY56" s="51"/>
      <c r="DZ56" s="49" t="str">
        <f t="shared" si="130"/>
        <v/>
      </c>
      <c r="EA56" s="91">
        <f t="shared" si="131"/>
        <v>0</v>
      </c>
      <c r="EB56" s="91">
        <f t="shared" si="132"/>
        <v>0</v>
      </c>
      <c r="EC56" s="91"/>
      <c r="ED56" s="48">
        <f>IF(OR(DZ56="",DZ56=0),0,MAX(EA56:EB56:EC56))</f>
        <v>0</v>
      </c>
      <c r="EE56" s="115" t="str">
        <f t="shared" si="183"/>
        <v/>
      </c>
      <c r="EF56" s="51" t="str">
        <f t="shared" si="184"/>
        <v/>
      </c>
      <c r="EG56" s="51"/>
      <c r="EH56" s="49" t="str">
        <f t="shared" si="133"/>
        <v/>
      </c>
      <c r="EI56" s="91">
        <f t="shared" si="134"/>
        <v>0</v>
      </c>
      <c r="EJ56" s="91">
        <f t="shared" si="135"/>
        <v>0</v>
      </c>
      <c r="EK56" s="91"/>
      <c r="EL56" s="48">
        <f>IF(OR(EH56="",EH56=0),0,MAX(EI56:EJ56:EK56))</f>
        <v>0</v>
      </c>
      <c r="EM56" s="115" t="str">
        <f t="shared" si="185"/>
        <v/>
      </c>
      <c r="EN56" s="51" t="str">
        <f t="shared" si="186"/>
        <v/>
      </c>
      <c r="EO56" s="51"/>
      <c r="EP56" s="49" t="str">
        <f t="shared" si="136"/>
        <v/>
      </c>
      <c r="EQ56" s="91">
        <f t="shared" si="137"/>
        <v>0</v>
      </c>
      <c r="ER56" s="91">
        <f t="shared" si="138"/>
        <v>0</v>
      </c>
      <c r="ES56" s="91"/>
      <c r="ET56" s="48">
        <f>IF(OR(EP56="",EP56=0),0,MAX(EQ56:ER56:ES56))</f>
        <v>0</v>
      </c>
      <c r="EU56" s="115" t="str">
        <f t="shared" si="187"/>
        <v/>
      </c>
      <c r="EV56" s="51" t="str">
        <f t="shared" si="188"/>
        <v/>
      </c>
      <c r="EW56" s="51"/>
      <c r="EX56" s="49" t="str">
        <f t="shared" si="139"/>
        <v/>
      </c>
      <c r="EY56" s="91">
        <f t="shared" si="140"/>
        <v>0</v>
      </c>
      <c r="EZ56" s="91">
        <f t="shared" si="141"/>
        <v>0</v>
      </c>
      <c r="FA56" s="91"/>
      <c r="FB56" s="48">
        <f>IF(OR(EX56="",EX56=0),0,MAX(EY56:EZ56:FA56))</f>
        <v>0</v>
      </c>
      <c r="FC56" s="115" t="str">
        <f t="shared" si="189"/>
        <v/>
      </c>
      <c r="FD56" s="51" t="str">
        <f t="shared" si="190"/>
        <v/>
      </c>
      <c r="FE56" s="51"/>
      <c r="FF56" s="49" t="str">
        <f t="shared" si="142"/>
        <v/>
      </c>
      <c r="FG56" s="91">
        <f t="shared" si="143"/>
        <v>0</v>
      </c>
      <c r="FH56" s="91">
        <f t="shared" si="144"/>
        <v>0</v>
      </c>
      <c r="FI56" s="91"/>
      <c r="FJ56" s="48">
        <f>IF(OR(FF56="",FF56=0),0,MAX(FG56:FH56:FI56))</f>
        <v>0</v>
      </c>
      <c r="FK56" s="115" t="str">
        <f t="shared" si="191"/>
        <v/>
      </c>
      <c r="FL56" s="51" t="str">
        <f t="shared" si="192"/>
        <v/>
      </c>
      <c r="FM56" s="51"/>
      <c r="FN56" s="49" t="str">
        <f t="shared" si="145"/>
        <v/>
      </c>
      <c r="FO56" s="91">
        <f t="shared" si="146"/>
        <v>0</v>
      </c>
      <c r="FP56" s="91">
        <f t="shared" si="147"/>
        <v>0</v>
      </c>
      <c r="FQ56" s="91"/>
      <c r="FR56" s="48">
        <f>IF(OR(FN56="",FN56=0),0,MAX(FO56:FP56:FQ56))</f>
        <v>0</v>
      </c>
      <c r="FS56" s="115" t="str">
        <f t="shared" si="193"/>
        <v/>
      </c>
      <c r="FT56" s="51" t="str">
        <f t="shared" si="194"/>
        <v/>
      </c>
      <c r="FU56" s="51"/>
      <c r="FV56" s="49" t="str">
        <f t="shared" si="148"/>
        <v/>
      </c>
      <c r="FW56" s="91">
        <f t="shared" si="149"/>
        <v>0</v>
      </c>
      <c r="FX56" s="91">
        <f t="shared" si="150"/>
        <v>0</v>
      </c>
      <c r="FY56" s="91"/>
      <c r="FZ56" s="48">
        <f>IF(OR(FV56="",FV56=0),0,MAX(FW56:FX56:FY56))</f>
        <v>0</v>
      </c>
      <c r="GA56" s="115" t="str">
        <f t="shared" si="195"/>
        <v/>
      </c>
      <c r="GB56" s="51" t="str">
        <f t="shared" si="196"/>
        <v/>
      </c>
      <c r="GC56" s="51"/>
      <c r="GD56" s="49" t="str">
        <f t="shared" si="151"/>
        <v/>
      </c>
      <c r="GE56" s="91">
        <f t="shared" si="152"/>
        <v>0</v>
      </c>
      <c r="GF56" s="91">
        <f t="shared" si="153"/>
        <v>0</v>
      </c>
      <c r="GG56" s="91"/>
      <c r="GH56" s="48">
        <f>IF(OR(GD56="",GD56=0),0,MAX(GE56:GF56:GG56))</f>
        <v>0</v>
      </c>
    </row>
    <row r="57" spans="1:193" s="16" customFormat="1" ht="13.3" thickTop="1" thickBot="1" x14ac:dyDescent="0.35">
      <c r="B57" s="393"/>
      <c r="C57" s="92"/>
      <c r="D57" s="104"/>
      <c r="E57" s="105"/>
      <c r="F57" s="106"/>
      <c r="G57" s="316" t="s">
        <v>403</v>
      </c>
      <c r="H57" s="828"/>
      <c r="I57" s="828"/>
      <c r="J57" s="828"/>
      <c r="K57" s="828"/>
      <c r="L57" s="828"/>
      <c r="M57" s="835"/>
      <c r="O57" s="833"/>
      <c r="S57" s="830"/>
      <c r="T57" s="329"/>
      <c r="U57" s="329"/>
      <c r="V57" s="316" t="str">
        <f>IF(V58="","","Consumo de tubos por cada 2ª Instalação Individual")</f>
        <v/>
      </c>
      <c r="W57" s="831"/>
      <c r="X57" s="831"/>
      <c r="Y57" s="831"/>
      <c r="Z57" s="391"/>
      <c r="AA57" s="832"/>
      <c r="AB57" s="99"/>
      <c r="AC57" s="327"/>
      <c r="AD57" s="328"/>
      <c r="AE57" s="328"/>
      <c r="AG57" s="315"/>
      <c r="AH57" s="314"/>
      <c r="AI57" s="237"/>
      <c r="AJ57" s="330"/>
      <c r="AK57" s="328"/>
      <c r="AL57" s="315"/>
      <c r="AM57" s="314"/>
      <c r="AO57" s="17"/>
      <c r="AP57" s="910" t="str">
        <f>IF(AW57&lt;&gt;0,"Atenção: No troço assinalado a vermelho deve-se adoptar uma dimensão mínima de 3/4 (DN 20), conforme nota 4).","")</f>
        <v/>
      </c>
      <c r="AW57" s="907">
        <f>SUM(AP47:AP56)</f>
        <v>0</v>
      </c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</row>
    <row r="58" spans="1:193" s="16" customFormat="1" ht="14.25" customHeight="1" thickTop="1" thickBot="1" x14ac:dyDescent="0.35">
      <c r="C58" s="92"/>
      <c r="D58" s="104"/>
      <c r="E58" s="105"/>
      <c r="F58" s="106"/>
      <c r="G58" s="840" t="s">
        <v>371</v>
      </c>
      <c r="H58" s="836"/>
      <c r="I58" s="837"/>
      <c r="J58" s="837"/>
      <c r="K58" s="837"/>
      <c r="L58" s="837"/>
      <c r="M58" s="839"/>
      <c r="N58" s="159" t="s">
        <v>388</v>
      </c>
      <c r="O58" s="170" t="s">
        <v>27</v>
      </c>
      <c r="P58" s="946" t="str">
        <f>IF(OR($CX46="",$CX46=0),"",$CX46)</f>
        <v/>
      </c>
      <c r="V58" s="315" t="str">
        <f>IF(OR($AZ95="",$AZ95=0),"",$AZ95)</f>
        <v/>
      </c>
      <c r="Y58" s="511" t="str">
        <f>IF(OR($AZ95="",$AZ95=0),"",$BA95)</f>
        <v/>
      </c>
      <c r="Z58" s="1135" t="str">
        <f>IF(OR($AZ95="",$AZ95=0),"","- Tubo Aço ("&amp;$AY95&amp;")")</f>
        <v/>
      </c>
      <c r="AA58" s="1199"/>
      <c r="AB58" s="325"/>
      <c r="AC58" s="327"/>
      <c r="AD58" s="328"/>
      <c r="AE58" s="328"/>
      <c r="AJ58" s="330"/>
      <c r="AK58" s="513" t="str">
        <f>IF(OR($AZ98="",$AZ98=0),"",$AZ98)</f>
        <v/>
      </c>
      <c r="AL58" s="337" t="str">
        <f>IF(OR($AZ98="",$AZ98=0),"",$BA98)</f>
        <v/>
      </c>
      <c r="AM58" s="1203" t="str">
        <f>IF(OR($AZ98="",$AZ98=0),"","- Tubo Aço ("&amp;$AY98&amp;")")</f>
        <v/>
      </c>
      <c r="AN58" s="1137"/>
      <c r="AO58" s="17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</row>
    <row r="59" spans="1:193" s="16" customFormat="1" ht="14.25" customHeight="1" thickTop="1" thickBot="1" x14ac:dyDescent="0.35">
      <c r="C59" s="92"/>
      <c r="D59" s="104"/>
      <c r="E59" s="105"/>
      <c r="F59" s="611"/>
      <c r="G59" s="840" t="s">
        <v>372</v>
      </c>
      <c r="H59" s="836"/>
      <c r="I59" s="825"/>
      <c r="J59" s="836"/>
      <c r="K59" s="836"/>
      <c r="L59" s="836"/>
      <c r="M59" s="839"/>
      <c r="N59" s="159" t="s">
        <v>389</v>
      </c>
      <c r="O59" s="170" t="s">
        <v>27</v>
      </c>
      <c r="P59" s="927" t="str">
        <f>IF(P58="","",P58*1.2)</f>
        <v/>
      </c>
      <c r="R59" s="657"/>
      <c r="U59" s="34"/>
      <c r="V59" s="315" t="str">
        <f>IF(OR($AZ96="",$AZ96=0),"",$AZ96)</f>
        <v/>
      </c>
      <c r="Y59" s="511" t="str">
        <f>IF(OR($AZ96="",$AZ96=0),"",$BA96)</f>
        <v/>
      </c>
      <c r="Z59" s="1135" t="str">
        <f>IF(OR($AZ96="",$AZ96=0),"","- Tubo Aço ("&amp;$AY96&amp;")")</f>
        <v/>
      </c>
      <c r="AA59" s="1199"/>
      <c r="AB59" s="325"/>
      <c r="AC59" s="327"/>
      <c r="AD59" s="328"/>
      <c r="AE59" s="328"/>
      <c r="AJ59" s="330"/>
      <c r="AK59" s="513" t="str">
        <f>IF(OR($AZ99="",$AZ99=0),"",$AZ99)</f>
        <v/>
      </c>
      <c r="AL59" s="337" t="str">
        <f>IF(OR($AZ99="",$AZ99=0),"",$BA99)</f>
        <v/>
      </c>
      <c r="AM59" s="1203" t="str">
        <f>IF(OR($AZ99="",$AZ99=0),"","- Tubo Aço ("&amp;$AY99&amp;")")</f>
        <v/>
      </c>
      <c r="AN59" s="1137"/>
      <c r="AO59" s="17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</row>
    <row r="60" spans="1:193" s="16" customFormat="1" ht="14.25" customHeight="1" thickTop="1" thickBot="1" x14ac:dyDescent="0.35">
      <c r="C60" s="92"/>
      <c r="D60" s="104"/>
      <c r="E60" s="105"/>
      <c r="F60" s="106"/>
      <c r="G60" s="840" t="s">
        <v>401</v>
      </c>
      <c r="H60" s="838"/>
      <c r="I60" s="838"/>
      <c r="J60" s="838"/>
      <c r="K60" s="838"/>
      <c r="L60" s="838"/>
      <c r="M60" s="839"/>
      <c r="N60" s="755" t="s">
        <v>37</v>
      </c>
      <c r="O60" s="403" t="str">
        <f>IF('Cálculo-Instalação Colectiva-MP'!$K$17="x","kPa/m","mbar/m")</f>
        <v>mbar/m</v>
      </c>
      <c r="P60" s="947" t="str">
        <f>IF(OR(P59="",$BW$37=""),"",($N$11)/P59)</f>
        <v/>
      </c>
      <c r="Q60" s="291"/>
      <c r="R60" s="393"/>
      <c r="S60" s="329"/>
      <c r="T60" s="329"/>
      <c r="U60" s="329"/>
      <c r="V60" s="315" t="str">
        <f>IF(OR($AZ97="",$AZ97=0),"",$AZ97)</f>
        <v/>
      </c>
      <c r="W60" s="391"/>
      <c r="X60" s="391"/>
      <c r="Y60" s="511" t="str">
        <f>IF(OR($AZ97="",$AZ97=0),"",$BA97)</f>
        <v/>
      </c>
      <c r="Z60" s="1135" t="str">
        <f>IF(OR($AZ97="",$AZ97=0),"","- Tubo Aço ("&amp;$AY97&amp;")")</f>
        <v/>
      </c>
      <c r="AA60" s="1199"/>
      <c r="AB60" s="325"/>
      <c r="AC60" s="327"/>
      <c r="AD60" s="328"/>
      <c r="AE60" s="328"/>
      <c r="AJ60" s="330"/>
      <c r="AK60" s="513" t="str">
        <f>IF(OR($AZ100="",$AZ100=0),"",$AZ100)</f>
        <v/>
      </c>
      <c r="AL60" s="337" t="str">
        <f>IF(OR($AZ100="",$AZ100=0),"",$BA100)</f>
        <v/>
      </c>
      <c r="AM60" s="1203" t="str">
        <f>IF(OR($AZ100="",$AZ100=0),"","- Tubo Aço ("&amp;$AY100&amp;")")</f>
        <v/>
      </c>
      <c r="AN60" s="1137"/>
      <c r="AO60" s="17"/>
      <c r="AY60" s="231" t="s">
        <v>262</v>
      </c>
      <c r="AZ60" s="222"/>
      <c r="BA60" s="222"/>
      <c r="BB60" s="223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</row>
    <row r="61" spans="1:193" s="16" customFormat="1" ht="2.25" customHeight="1" thickTop="1" thickBot="1" x14ac:dyDescent="0.35">
      <c r="C61" s="92"/>
      <c r="D61" s="285"/>
      <c r="E61" s="285"/>
      <c r="F61" s="286"/>
      <c r="G61" s="287"/>
      <c r="H61" s="287"/>
      <c r="I61" s="613"/>
      <c r="J61" s="613"/>
      <c r="K61" s="613"/>
      <c r="L61" s="612"/>
      <c r="M61" s="289"/>
      <c r="N61" s="290"/>
      <c r="O61" s="97"/>
      <c r="P61" s="97"/>
      <c r="Q61" s="291"/>
      <c r="R61" s="292"/>
      <c r="S61" s="110"/>
      <c r="T61" s="110"/>
      <c r="U61" s="110"/>
      <c r="V61" s="97"/>
      <c r="W61" s="97"/>
      <c r="X61" s="97"/>
      <c r="Y61" s="97"/>
      <c r="Z61" s="97"/>
      <c r="AA61" s="293"/>
      <c r="AB61" s="325"/>
      <c r="AC61" s="326"/>
      <c r="AD61" s="328"/>
      <c r="AE61" s="328"/>
      <c r="AF61" s="329"/>
      <c r="AG61" s="315"/>
      <c r="AH61" s="314"/>
      <c r="AI61" s="314"/>
      <c r="AJ61" s="330"/>
      <c r="AK61" s="328"/>
      <c r="AL61" s="315"/>
      <c r="AM61" s="314"/>
      <c r="AN61" s="314"/>
      <c r="AO61" s="17"/>
      <c r="AZ61" s="222"/>
      <c r="BA61" s="222"/>
      <c r="BB61" s="223"/>
      <c r="BC61" s="2"/>
      <c r="BD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</row>
    <row r="62" spans="1:193" s="16" customFormat="1" ht="3" customHeight="1" thickTop="1" thickBot="1" x14ac:dyDescent="0.35">
      <c r="C62" s="375"/>
      <c r="D62" s="100"/>
      <c r="E62" s="376"/>
      <c r="F62" s="286"/>
      <c r="G62" s="286"/>
      <c r="H62" s="286"/>
      <c r="I62" s="377"/>
      <c r="J62" s="377"/>
      <c r="K62" s="377"/>
      <c r="L62" s="377"/>
      <c r="M62" s="378"/>
      <c r="N62" s="290"/>
      <c r="O62" s="290"/>
      <c r="P62" s="290"/>
      <c r="Q62" s="291"/>
      <c r="R62" s="379"/>
      <c r="S62" s="380"/>
      <c r="T62" s="380"/>
      <c r="U62" s="380"/>
      <c r="V62" s="290"/>
      <c r="W62" s="290"/>
      <c r="X62" s="290"/>
      <c r="Y62" s="290"/>
      <c r="Z62" s="290"/>
      <c r="AA62" s="381"/>
      <c r="AB62" s="325"/>
      <c r="AC62" s="325"/>
      <c r="AD62" s="325"/>
      <c r="AE62" s="325"/>
      <c r="AF62" s="325"/>
      <c r="AG62" s="325"/>
      <c r="AH62" s="325"/>
      <c r="AI62" s="325"/>
      <c r="AJ62" s="325"/>
      <c r="AK62" s="325"/>
      <c r="AL62" s="325"/>
      <c r="AM62" s="325"/>
      <c r="AN62" s="325"/>
      <c r="AO62" s="325"/>
      <c r="AP62" s="372"/>
      <c r="AQ62" s="372"/>
      <c r="AR62" s="372"/>
      <c r="AS62" s="372"/>
      <c r="AT62" s="372"/>
      <c r="AY62" s="269" t="s">
        <v>243</v>
      </c>
      <c r="AZ62" s="158" t="s">
        <v>244</v>
      </c>
      <c r="BA62" s="183" t="s">
        <v>41</v>
      </c>
      <c r="BB62" s="270" t="s">
        <v>245</v>
      </c>
      <c r="BC62" s="271"/>
      <c r="BD62" s="183"/>
      <c r="BE62" s="269" t="s">
        <v>243</v>
      </c>
      <c r="BF62" s="269" t="s">
        <v>246</v>
      </c>
      <c r="BG62" s="158" t="s">
        <v>244</v>
      </c>
      <c r="BH62" s="333" t="s">
        <v>260</v>
      </c>
      <c r="BI62" s="333" t="s">
        <v>261</v>
      </c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</row>
    <row r="63" spans="1:193" ht="3" customHeight="1" thickTop="1" thickBot="1" x14ac:dyDescent="0.35">
      <c r="B63" s="16"/>
      <c r="C63" s="53"/>
      <c r="D63" s="54"/>
      <c r="E63" s="54"/>
      <c r="F63" s="55"/>
      <c r="G63" s="56"/>
      <c r="H63" s="56"/>
      <c r="I63" s="57"/>
      <c r="J63" s="57"/>
      <c r="K63" s="334"/>
      <c r="L63" s="334"/>
      <c r="M63" s="335"/>
      <c r="N63"/>
      <c r="O63"/>
      <c r="P63"/>
      <c r="Q63"/>
      <c r="R63"/>
      <c r="AU63" s="16"/>
      <c r="AV63" s="16"/>
      <c r="AW63" s="16"/>
      <c r="AX63" s="16"/>
      <c r="BH63" s="155"/>
      <c r="BI63" s="155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</row>
    <row r="64" spans="1:193" ht="15.75" customHeight="1" thickTop="1" thickBot="1" x14ac:dyDescent="0.4">
      <c r="A64" s="67"/>
      <c r="B64" s="16"/>
      <c r="C64" s="66"/>
      <c r="D64" s="168"/>
      <c r="E64" s="169"/>
      <c r="F64" s="67"/>
      <c r="G64" s="67"/>
      <c r="H64" s="67"/>
      <c r="I64" s="68"/>
      <c r="J64" s="68"/>
      <c r="K64" s="3"/>
      <c r="T64" s="1219" t="str">
        <f>IF(OR(SUM('Cálculo-Instalação Colectiva-MP'!D30:D49)&lt;&gt;0,SUM(B26:B35)&lt;&gt;0,SUM(B47:B56)&lt;&gt;0),"Consumo Total de Tubos de Aço","")</f>
        <v/>
      </c>
      <c r="V64" s="315" t="str">
        <f t="shared" ref="V64:V69" si="203">IF(OR($AZ64="",$AZ64=0),"",$AZ64)</f>
        <v/>
      </c>
      <c r="Y64" s="511" t="str">
        <f t="shared" ref="Y64:Y69" si="204">IF(OR($AZ64="",$AZ64=0),"",$BA64)</f>
        <v/>
      </c>
      <c r="Z64" s="1135" t="str">
        <f t="shared" ref="Z64:Z69" si="205">IF(OR($AZ64="",$AZ64=0),"","- Tubo Aço ("&amp;$AY64&amp;")")</f>
        <v/>
      </c>
      <c r="AA64" s="1137"/>
      <c r="AH64" s="339"/>
      <c r="AY64" s="274" t="str">
        <f t="shared" ref="AY64:AY69" si="206">IF(BA64="","",LOOKUP(BA64,$BF$64:$BF$69,$BE$64:$BE$69))</f>
        <v/>
      </c>
      <c r="AZ64" s="274" t="str">
        <f t="shared" ref="AZ64:AZ69" si="207">IF(BA64="","",LOOKUP(BA64,$BD$64:$BD$69,$BG$64:$BG$69))</f>
        <v/>
      </c>
      <c r="BA64" s="275" t="str">
        <f t="shared" ref="BA64:BA69" si="208">IF(AND(BB64="",BC64=""),"",MIN(BB64:BC64))</f>
        <v/>
      </c>
      <c r="BB64" s="276" t="str">
        <f>IF(OR(MIN($BD64:$BD69)="",MIN($BD64:$BD69)=0),"",MIN($BD64:$BD69))</f>
        <v/>
      </c>
      <c r="BC64" s="276" t="str">
        <f>IF(OR(MIN($BD64:$BD69)="",MIN($BD64:$BD69)=0),"",MIN($BD64:$BD69))</f>
        <v/>
      </c>
      <c r="BD64" s="275" t="str">
        <f t="shared" ref="BD64:BD69" si="209">IF(OR($BG64="",$BG64=0),"",$BF64)</f>
        <v/>
      </c>
      <c r="BE64" s="279" t="s">
        <v>248</v>
      </c>
      <c r="BF64" s="275">
        <v>0.5</v>
      </c>
      <c r="BG64" s="280">
        <f t="shared" ref="BG64:BG69" si="210">BH64+BI64</f>
        <v>0</v>
      </c>
      <c r="BH64" s="280">
        <f t="shared" ref="BH64:BH69" si="211">BH79+BH95</f>
        <v>0</v>
      </c>
      <c r="BI64" s="280">
        <f>'Cálculo-Instalação Colectiva-MP'!BE54</f>
        <v>0</v>
      </c>
    </row>
    <row r="65" spans="2:67" ht="15.9" thickTop="1" thickBot="1" x14ac:dyDescent="0.4">
      <c r="B65" s="16"/>
      <c r="C65" s="53"/>
      <c r="D65" s="168"/>
      <c r="E65" s="169"/>
      <c r="F65" s="75"/>
      <c r="G65" s="75"/>
      <c r="H65" s="75"/>
      <c r="I65" s="76"/>
      <c r="J65" s="76"/>
      <c r="K65" s="76"/>
      <c r="L65" s="76"/>
      <c r="T65" s="1220" t="str">
        <f>IF(AND(SUM(A21:A30)&lt;&gt;"",SUM(A42:A51)&lt;&gt;""),"Indique o nº total de fogos correspondentes à 1ª Instalação Individual.",0)</f>
        <v>Indique o nº total de fogos correspondentes à 1ª Instalação Individual.</v>
      </c>
      <c r="V65" s="315" t="str">
        <f t="shared" si="203"/>
        <v/>
      </c>
      <c r="Y65" s="511" t="str">
        <f t="shared" si="204"/>
        <v/>
      </c>
      <c r="Z65" s="1135" t="str">
        <f t="shared" si="205"/>
        <v/>
      </c>
      <c r="AA65" s="1137"/>
      <c r="AY65" s="274" t="str">
        <f t="shared" si="206"/>
        <v/>
      </c>
      <c r="AZ65" s="274" t="str">
        <f t="shared" si="207"/>
        <v/>
      </c>
      <c r="BA65" s="275" t="str">
        <f t="shared" si="208"/>
        <v/>
      </c>
      <c r="BB65" s="284"/>
      <c r="BC65" s="275" t="str">
        <f>IF($BA64="","",IF(AND($BD65&lt;&gt;"",$BD65&gt;$BA64),$BD65,IF(AND($BD66&lt;&gt;"",$BD66&gt;$BA64),$BD66,IF(AND($BD67&lt;&gt;"",$BD67&gt;$BA64),$BD67,IF(AND($BD68&lt;&gt;"",$BD68&gt;$BA64),$BD68,IF(AND($BD69&lt;&gt;"",$BD69&gt;$BA64),$BD69,""))))))</f>
        <v/>
      </c>
      <c r="BD65" s="275" t="str">
        <f t="shared" si="209"/>
        <v/>
      </c>
      <c r="BE65" s="279" t="s">
        <v>249</v>
      </c>
      <c r="BF65" s="275">
        <v>0.75</v>
      </c>
      <c r="BG65" s="280">
        <f t="shared" si="210"/>
        <v>0</v>
      </c>
      <c r="BH65" s="280">
        <f t="shared" si="211"/>
        <v>0</v>
      </c>
      <c r="BI65" s="280">
        <f>'Cálculo-Instalação Colectiva-MP'!BE55</f>
        <v>0</v>
      </c>
    </row>
    <row r="66" spans="2:67" ht="15.9" thickTop="1" thickBot="1" x14ac:dyDescent="0.4">
      <c r="B66" s="16"/>
      <c r="C66" s="22"/>
      <c r="D66" s="168"/>
      <c r="E66" s="169"/>
      <c r="T66" s="1220" t="str">
        <f>IF(AND(SUM(A22:A31)&lt;&gt;"",SUM(A43:A52)&lt;&gt;""),"Indique o nº total de fogos correspondentes à 1ª Instalação Individual.",0)</f>
        <v>Indique o nº total de fogos correspondentes à 1ª Instalação Individual.</v>
      </c>
      <c r="V66" s="315" t="str">
        <f t="shared" si="203"/>
        <v/>
      </c>
      <c r="Y66" s="511" t="str">
        <f t="shared" si="204"/>
        <v/>
      </c>
      <c r="Z66" s="1135" t="str">
        <f t="shared" si="205"/>
        <v/>
      </c>
      <c r="AA66" s="1137"/>
      <c r="AY66" s="274" t="str">
        <f t="shared" si="206"/>
        <v/>
      </c>
      <c r="AZ66" s="274" t="str">
        <f t="shared" si="207"/>
        <v/>
      </c>
      <c r="BA66" s="275" t="str">
        <f t="shared" si="208"/>
        <v/>
      </c>
      <c r="BB66" s="284"/>
      <c r="BC66" s="275" t="str">
        <f>IF($BA65="","",IF(AND($BD66&lt;&gt;"",$BD66&gt;$BA65),$BD66,IF(AND($BD67&lt;&gt;"",$BD67&gt;$BA65),$BD67,IF(AND($BD68&lt;&gt;"",$BD68&gt;$BA65),$BD68,IF(AND($BD69&lt;&gt;"",$BD69&gt;$BA65),$BD69,"")))))</f>
        <v/>
      </c>
      <c r="BD66" s="275" t="str">
        <f t="shared" si="209"/>
        <v/>
      </c>
      <c r="BE66" s="279" t="s">
        <v>250</v>
      </c>
      <c r="BF66" s="275">
        <v>1</v>
      </c>
      <c r="BG66" s="280">
        <f t="shared" si="210"/>
        <v>0</v>
      </c>
      <c r="BH66" s="280">
        <f t="shared" si="211"/>
        <v>0</v>
      </c>
      <c r="BI66" s="280">
        <f>'Cálculo-Instalação Colectiva-MP'!BE56</f>
        <v>0</v>
      </c>
    </row>
    <row r="67" spans="2:67" ht="16.5" customHeight="1" thickTop="1" thickBot="1" x14ac:dyDescent="0.4">
      <c r="B67" s="16"/>
      <c r="D67" s="168"/>
      <c r="E67" s="169"/>
      <c r="T67" s="1220" t="str">
        <f>IF(AND(SUM(A23:A32)&lt;&gt;"",SUM(A44:A53)&lt;&gt;""),"Indique o nº total de fogos correspondentes à 1ª Instalação Individual.",0)</f>
        <v>Indique o nº total de fogos correspondentes à 1ª Instalação Individual.</v>
      </c>
      <c r="V67" s="315" t="str">
        <f t="shared" si="203"/>
        <v/>
      </c>
      <c r="Y67" s="511" t="str">
        <f t="shared" si="204"/>
        <v/>
      </c>
      <c r="Z67" s="1135" t="str">
        <f t="shared" si="205"/>
        <v/>
      </c>
      <c r="AA67" s="1137"/>
      <c r="AY67" s="274" t="str">
        <f t="shared" si="206"/>
        <v/>
      </c>
      <c r="AZ67" s="274" t="str">
        <f t="shared" si="207"/>
        <v/>
      </c>
      <c r="BA67" s="275" t="str">
        <f t="shared" si="208"/>
        <v/>
      </c>
      <c r="BB67" s="284"/>
      <c r="BC67" s="275" t="str">
        <f>IF($BA66="","",IF(AND($BD67&lt;&gt;"",$BD67&gt;$BA66),$BD67,IF(AND($BD68&lt;&gt;"",$BD68&gt;$BA66),$BD68,IF(AND($BD69&lt;&gt;"",$BD69&gt;$BA66),$BD69,""))))</f>
        <v/>
      </c>
      <c r="BD67" s="275" t="str">
        <f t="shared" si="209"/>
        <v/>
      </c>
      <c r="BE67" s="279" t="s">
        <v>251</v>
      </c>
      <c r="BF67" s="275">
        <v>1.25</v>
      </c>
      <c r="BG67" s="280">
        <f t="shared" si="210"/>
        <v>0</v>
      </c>
      <c r="BH67" s="280">
        <f t="shared" si="211"/>
        <v>0</v>
      </c>
      <c r="BI67" s="280">
        <f>'Cálculo-Instalação Colectiva-MP'!BE57</f>
        <v>0</v>
      </c>
    </row>
    <row r="68" spans="2:67" ht="16.5" customHeight="1" thickTop="1" thickBot="1" x14ac:dyDescent="0.4">
      <c r="B68" s="16"/>
      <c r="D68" s="168"/>
      <c r="E68" s="169"/>
      <c r="T68" s="1220" t="str">
        <f>IF(AND(SUM(A24:A33)&lt;&gt;"",SUM(A45:A54)&lt;&gt;""),"Indique o nº total de fogos correspondentes à 1ª Instalação Individual.",0)</f>
        <v>Indique o nº total de fogos correspondentes à 1ª Instalação Individual.</v>
      </c>
      <c r="V68" s="315" t="str">
        <f t="shared" si="203"/>
        <v/>
      </c>
      <c r="Y68" s="511" t="str">
        <f t="shared" si="204"/>
        <v/>
      </c>
      <c r="Z68" s="1135" t="str">
        <f t="shared" si="205"/>
        <v/>
      </c>
      <c r="AA68" s="1137"/>
      <c r="AY68" s="274" t="str">
        <f t="shared" si="206"/>
        <v/>
      </c>
      <c r="AZ68" s="274" t="str">
        <f t="shared" si="207"/>
        <v/>
      </c>
      <c r="BA68" s="275" t="str">
        <f t="shared" si="208"/>
        <v/>
      </c>
      <c r="BB68" s="284"/>
      <c r="BC68" s="275" t="str">
        <f>IF($BA67="","",IF(AND($BD68&lt;&gt;"",$BD68&gt;$BA67),$BD68,IF(AND($BD69&lt;&gt;"",$BD69&gt;$BA67),$BD69,"")))</f>
        <v/>
      </c>
      <c r="BD68" s="275" t="str">
        <f t="shared" si="209"/>
        <v/>
      </c>
      <c r="BE68" s="279" t="s">
        <v>252</v>
      </c>
      <c r="BF68" s="275">
        <v>1.5</v>
      </c>
      <c r="BG68" s="280">
        <f t="shared" si="210"/>
        <v>0</v>
      </c>
      <c r="BH68" s="280">
        <f t="shared" si="211"/>
        <v>0</v>
      </c>
      <c r="BI68" s="280">
        <f>'Cálculo-Instalação Colectiva-MP'!BE58</f>
        <v>0</v>
      </c>
    </row>
    <row r="69" spans="2:67" ht="15.9" thickTop="1" thickBot="1" x14ac:dyDescent="0.4">
      <c r="B69" s="16"/>
      <c r="D69" s="168"/>
      <c r="E69" s="169"/>
      <c r="T69" s="1221" t="str">
        <f>IF(AND(SUM(A25:A34)&lt;&gt;"",SUM(A46:A55)&lt;&gt;""),"Indique o nº total de fogos correspondentes à 1ª Instalação Individual.",0)</f>
        <v>Indique o nº total de fogos correspondentes à 1ª Instalação Individual.</v>
      </c>
      <c r="V69" s="315" t="str">
        <f t="shared" si="203"/>
        <v/>
      </c>
      <c r="Y69" s="511" t="str">
        <f t="shared" si="204"/>
        <v/>
      </c>
      <c r="Z69" s="1135" t="str">
        <f t="shared" si="205"/>
        <v/>
      </c>
      <c r="AA69" s="1137"/>
      <c r="AB69" s="167"/>
      <c r="AY69" s="274" t="str">
        <f t="shared" si="206"/>
        <v/>
      </c>
      <c r="AZ69" s="274" t="str">
        <f t="shared" si="207"/>
        <v/>
      </c>
      <c r="BA69" s="275" t="str">
        <f t="shared" si="208"/>
        <v/>
      </c>
      <c r="BB69" s="284"/>
      <c r="BC69" s="275" t="str">
        <f>IF($BA68="","",IF(AND($BD69&lt;&gt;"",$BD69&gt;$BA68),$BD69,""))</f>
        <v/>
      </c>
      <c r="BD69" s="275" t="str">
        <f t="shared" si="209"/>
        <v/>
      </c>
      <c r="BE69" s="279" t="s">
        <v>253</v>
      </c>
      <c r="BF69" s="275">
        <v>2</v>
      </c>
      <c r="BG69" s="280">
        <f t="shared" si="210"/>
        <v>0</v>
      </c>
      <c r="BH69" s="280">
        <f t="shared" si="211"/>
        <v>0</v>
      </c>
      <c r="BI69" s="280">
        <f>'Cálculo-Instalação Colectiva-MP'!BE59</f>
        <v>0</v>
      </c>
    </row>
    <row r="70" spans="2:67" ht="16.5" customHeight="1" thickTop="1" thickBot="1" x14ac:dyDescent="0.4">
      <c r="B70" s="16"/>
      <c r="E70" s="169"/>
      <c r="R70" s="842" t="str">
        <f>IF(AND(T70&lt;&gt;"",SUM(B26:B35)=0,SUM(B47:B56)=0),"",IF(AND(T70&gt;'Cálculo-Instalação Colectiva-MP'!AV53,'Cálculo-Instalação Colectiva-MP'!AV53&gt;0),"Erro:",""))</f>
        <v/>
      </c>
      <c r="T70" s="968"/>
      <c r="V70" s="336" t="str">
        <f>IF(AND(T70&lt;&gt;"",SUM(B26:B35)=0,SUM(B47:B56)=0),"Nº de fogos correspondentes à 1ª Instalação Individual.",IF(AND(T70&gt;'Cálculo-Instalação Colectiva-MP'!AV53,'Cálculo-Instalação Colectiva-MP'!AV53&gt;0),"ATENÇÃO: O nº total de fogos correspondentes à 1ª Instalação Individual, não pode ser superior ao nº total de fogos existentes.",IF(AND(SUM(B26:B35)&lt;&gt;0,SUM(B47:B56)&lt;&gt;0),"Indique o nº total de fogos correspondentes à 1ª Instalação Individual (por defeito, selecciona a Instalação mais crítica).","Indicador para estimar consumo de tubos de aço.")))</f>
        <v>Indicador para estimar consumo de tubos de aço.</v>
      </c>
      <c r="AB70" s="167"/>
    </row>
    <row r="71" spans="2:67" ht="6.75" customHeight="1" thickTop="1" thickBot="1" x14ac:dyDescent="0.35">
      <c r="B71" s="16"/>
      <c r="M71" s="338"/>
      <c r="AN71" s="15"/>
    </row>
    <row r="72" spans="2:67" ht="15" customHeight="1" thickTop="1" thickBot="1" x14ac:dyDescent="0.35">
      <c r="B72" s="1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32"/>
      <c r="W72" s="32"/>
      <c r="X72" s="32"/>
      <c r="Y72" s="32"/>
      <c r="Z72" s="32"/>
      <c r="AA72" s="32"/>
      <c r="AB72" s="86"/>
      <c r="AC72" s="86"/>
      <c r="AD72" s="86"/>
      <c r="AE72" s="86"/>
      <c r="AF72" s="86"/>
      <c r="AG72" s="86"/>
      <c r="AH72" s="86"/>
      <c r="AI72" s="841" t="s">
        <v>275</v>
      </c>
      <c r="AJ72" s="86"/>
      <c r="AM72" s="86"/>
      <c r="AN72" s="86"/>
      <c r="AO72" s="86"/>
      <c r="AP72" s="86"/>
      <c r="AQ72" s="86"/>
      <c r="AR72" s="86"/>
      <c r="AS72" s="86"/>
      <c r="AT72" s="370"/>
      <c r="AU72" s="371"/>
    </row>
    <row r="73" spans="2:67" ht="3" customHeight="1" thickTop="1" x14ac:dyDescent="0.3"/>
    <row r="74" spans="2:67" ht="5.25" customHeight="1" x14ac:dyDescent="0.3"/>
    <row r="75" spans="2:67" ht="12.9" thickBot="1" x14ac:dyDescent="0.35"/>
    <row r="76" spans="2:67" ht="13.3" thickTop="1" thickBot="1" x14ac:dyDescent="0.35">
      <c r="AY76" s="231" t="s">
        <v>258</v>
      </c>
      <c r="AZ76" s="222"/>
      <c r="BA76" s="222"/>
      <c r="BB76" s="223"/>
      <c r="BF76" s="332">
        <f>IF('Cálculo-Instalação Colectiva-MP'!AV53="","",'Cálculo-Instalação Colectiva-MP'!AV53)</f>
        <v>0</v>
      </c>
      <c r="BG76" s="331">
        <f>IF(SUM(B26:B35)&lt;&gt;"",1,0)</f>
        <v>1</v>
      </c>
      <c r="BH76" s="901">
        <f>IF(AND(BG$76=0,BG$92,0),0,IF(BG$92=0,BF$76,IF(AND($T$70&lt;&gt;"",$T$70&lt;='Cálculo-Instalação Colectiva-MP'!AV53),$T$70,IF(AND($T$70="",$BG$76&lt;&gt;0,$BG$92&lt;&gt;0,$CX$25=MAX($CX$25:$CX$46)),$BF$76,0))))</f>
        <v>0</v>
      </c>
    </row>
    <row r="77" spans="2:67" ht="15.9" thickTop="1" thickBot="1" x14ac:dyDescent="0.35">
      <c r="AY77" s="269" t="s">
        <v>243</v>
      </c>
      <c r="AZ77" s="158" t="s">
        <v>244</v>
      </c>
      <c r="BA77" s="183" t="s">
        <v>41</v>
      </c>
      <c r="BB77" s="270" t="s">
        <v>245</v>
      </c>
      <c r="BC77" s="271"/>
      <c r="BD77" s="183"/>
      <c r="BE77" s="269" t="s">
        <v>243</v>
      </c>
      <c r="BF77" s="269" t="s">
        <v>246</v>
      </c>
      <c r="BG77" s="158" t="s">
        <v>244</v>
      </c>
      <c r="BH77" s="333" t="s">
        <v>244</v>
      </c>
      <c r="BI77" s="272" t="s">
        <v>247</v>
      </c>
      <c r="BJ77" s="273"/>
      <c r="BK77" s="273"/>
      <c r="BL77" s="273"/>
      <c r="BM77" s="273"/>
      <c r="BN77" s="273"/>
      <c r="BO77" s="273"/>
    </row>
    <row r="78" spans="2:67" ht="13.3" thickTop="1" thickBot="1" x14ac:dyDescent="0.35">
      <c r="BH78" s="155" t="s">
        <v>259</v>
      </c>
      <c r="BI78" s="277" t="s">
        <v>248</v>
      </c>
      <c r="BJ78" s="277" t="s">
        <v>249</v>
      </c>
      <c r="BK78" s="277" t="s">
        <v>250</v>
      </c>
      <c r="BL78" s="277" t="s">
        <v>251</v>
      </c>
      <c r="BM78" s="277" t="s">
        <v>252</v>
      </c>
      <c r="BN78" s="277" t="s">
        <v>253</v>
      </c>
      <c r="BO78" s="278" t="s">
        <v>243</v>
      </c>
    </row>
    <row r="79" spans="2:67" ht="13.3" thickTop="1" thickBot="1" x14ac:dyDescent="0.35">
      <c r="AY79" s="274" t="str">
        <f t="shared" ref="AY79:AY84" si="212">IF(BA79="","",LOOKUP(BA79,$BF$79:$BF$84,$BE$79:$BE$84))</f>
        <v/>
      </c>
      <c r="AZ79" s="274" t="str">
        <f t="shared" ref="AZ79:AZ84" si="213">IF(BA79="","",LOOKUP(BA79,$BD$79:$BD$84,$BG$79:$BG$84))</f>
        <v/>
      </c>
      <c r="BA79" s="275" t="str">
        <f t="shared" ref="BA79:BA84" si="214">IF(AND(BB79="",BC79=""),"",MIN(BB79:BC79))</f>
        <v/>
      </c>
      <c r="BB79" s="276" t="str">
        <f>IF(OR(MIN($BD79:$BD84)="",MIN($BD79:$BD84)=0),"",MIN($BD79:$BD84))</f>
        <v/>
      </c>
      <c r="BC79" s="276" t="str">
        <f>IF(OR(MIN($BD79:$BD84)="",MIN($BD79:$BD84)=0),"",MIN($BD79:$BD84))</f>
        <v/>
      </c>
      <c r="BD79" s="275" t="str">
        <f t="shared" ref="BD79:BD84" si="215">IF(OR($BG79="",$BG79=0),"",$BF79)</f>
        <v/>
      </c>
      <c r="BE79" s="279" t="s">
        <v>248</v>
      </c>
      <c r="BF79" s="275">
        <v>0.5</v>
      </c>
      <c r="BG79" s="280">
        <f>BI80</f>
        <v>0</v>
      </c>
      <c r="BH79" s="280">
        <f>BI80*$BG$76*$BH$76</f>
        <v>0</v>
      </c>
      <c r="BI79" s="281">
        <v>16.100000000000001</v>
      </c>
      <c r="BJ79" s="281">
        <v>21.7</v>
      </c>
      <c r="BK79" s="281">
        <v>27.3</v>
      </c>
      <c r="BL79" s="281">
        <v>36</v>
      </c>
      <c r="BM79" s="281">
        <v>41.9</v>
      </c>
      <c r="BN79" s="281">
        <v>53.1</v>
      </c>
      <c r="BO79" s="278" t="s">
        <v>254</v>
      </c>
    </row>
    <row r="80" spans="2:67" ht="13.3" thickTop="1" thickBot="1" x14ac:dyDescent="0.35">
      <c r="AY80" s="274" t="str">
        <f t="shared" si="212"/>
        <v/>
      </c>
      <c r="AZ80" s="274" t="str">
        <f t="shared" si="213"/>
        <v/>
      </c>
      <c r="BA80" s="275" t="str">
        <f t="shared" si="214"/>
        <v/>
      </c>
      <c r="BB80" s="284"/>
      <c r="BC80" s="275" t="str">
        <f>IF($BA79="","",IF(AND($BD80&lt;&gt;"",$BD80&gt;$BA79),$BD80,IF(AND($BD81&lt;&gt;"",$BD81&gt;$BA79),$BD81,IF(AND($BD82&lt;&gt;"",$BD82&gt;$BA79),$BD82,IF(AND($BD83&lt;&gt;"",$BD83&gt;$BA79),$BD83,IF(AND($BD84&lt;&gt;"",$BD84&gt;$BA79),$BD84,""))))))</f>
        <v/>
      </c>
      <c r="BD80" s="275" t="str">
        <f t="shared" si="215"/>
        <v/>
      </c>
      <c r="BE80" s="279" t="s">
        <v>249</v>
      </c>
      <c r="BF80" s="275">
        <v>0.75</v>
      </c>
      <c r="BG80" s="280">
        <f>BJ80</f>
        <v>0</v>
      </c>
      <c r="BH80" s="280">
        <f>BJ80*$BG$76*$BH$76</f>
        <v>0</v>
      </c>
      <c r="BI80" s="282">
        <f t="shared" ref="BI80:BN80" si="216">SUM(BI81:BI90)</f>
        <v>0</v>
      </c>
      <c r="BJ80" s="282">
        <f t="shared" si="216"/>
        <v>0</v>
      </c>
      <c r="BK80" s="282">
        <f t="shared" si="216"/>
        <v>0</v>
      </c>
      <c r="BL80" s="282">
        <f t="shared" si="216"/>
        <v>0</v>
      </c>
      <c r="BM80" s="282">
        <f t="shared" si="216"/>
        <v>0</v>
      </c>
      <c r="BN80" s="282">
        <f t="shared" si="216"/>
        <v>0</v>
      </c>
      <c r="BO80" s="278" t="s">
        <v>255</v>
      </c>
    </row>
    <row r="81" spans="13:67" ht="13.3" thickTop="1" thickBot="1" x14ac:dyDescent="0.35">
      <c r="AY81" s="274" t="str">
        <f t="shared" si="212"/>
        <v/>
      </c>
      <c r="AZ81" s="274" t="str">
        <f t="shared" si="213"/>
        <v/>
      </c>
      <c r="BA81" s="275" t="str">
        <f t="shared" si="214"/>
        <v/>
      </c>
      <c r="BB81" s="284"/>
      <c r="BC81" s="275" t="str">
        <f>IF($BA80="","",IF(AND($BD81&lt;&gt;"",$BD81&gt;$BA80),$BD81,IF(AND($BD82&lt;&gt;"",$BD82&gt;$BA80),$BD82,IF(AND($BD83&lt;&gt;"",$BD83&gt;$BA80),$BD83,IF(AND($BD84&lt;&gt;"",$BD84&gt;$BA80),$BD84,"")))))</f>
        <v/>
      </c>
      <c r="BD81" s="275" t="str">
        <f t="shared" si="215"/>
        <v/>
      </c>
      <c r="BE81" s="279" t="s">
        <v>250</v>
      </c>
      <c r="BF81" s="275">
        <v>1</v>
      </c>
      <c r="BG81" s="280">
        <f>BK80</f>
        <v>0</v>
      </c>
      <c r="BH81" s="280">
        <f>BK80*$BG$76*$BH$76</f>
        <v>0</v>
      </c>
      <c r="BI81" s="283" t="str">
        <f t="shared" ref="BI81:BN90" si="217">IF($V26=BI$79,$M26,"")</f>
        <v/>
      </c>
      <c r="BJ81" s="283" t="str">
        <f t="shared" si="217"/>
        <v/>
      </c>
      <c r="BK81" s="283" t="str">
        <f t="shared" si="217"/>
        <v/>
      </c>
      <c r="BL81" s="283" t="str">
        <f t="shared" si="217"/>
        <v/>
      </c>
      <c r="BM81" s="283" t="str">
        <f t="shared" si="217"/>
        <v/>
      </c>
      <c r="BN81" s="283" t="str">
        <f t="shared" si="217"/>
        <v/>
      </c>
    </row>
    <row r="82" spans="13:67" ht="13.3" thickTop="1" thickBot="1" x14ac:dyDescent="0.35">
      <c r="AY82" s="274" t="str">
        <f t="shared" si="212"/>
        <v/>
      </c>
      <c r="AZ82" s="274" t="str">
        <f t="shared" si="213"/>
        <v/>
      </c>
      <c r="BA82" s="275" t="str">
        <f t="shared" si="214"/>
        <v/>
      </c>
      <c r="BB82" s="284"/>
      <c r="BC82" s="275" t="str">
        <f>IF($BA81="","",IF(AND($BD82&lt;&gt;"",$BD82&gt;$BA81),$BD82,IF(AND($BD83&lt;&gt;"",$BD83&gt;$BA81),$BD83,IF(AND($BD84&lt;&gt;"",$BD84&gt;$BA81),$BD84,""))))</f>
        <v/>
      </c>
      <c r="BD82" s="275" t="str">
        <f t="shared" si="215"/>
        <v/>
      </c>
      <c r="BE82" s="279" t="s">
        <v>251</v>
      </c>
      <c r="BF82" s="275">
        <v>1.25</v>
      </c>
      <c r="BG82" s="280">
        <f>BL80</f>
        <v>0</v>
      </c>
      <c r="BH82" s="280">
        <f>BL80*$BG$76*$BH$76</f>
        <v>0</v>
      </c>
      <c r="BI82" s="283" t="str">
        <f t="shared" si="217"/>
        <v/>
      </c>
      <c r="BJ82" s="283" t="str">
        <f t="shared" si="217"/>
        <v/>
      </c>
      <c r="BK82" s="283" t="str">
        <f t="shared" si="217"/>
        <v/>
      </c>
      <c r="BL82" s="283" t="str">
        <f t="shared" si="217"/>
        <v/>
      </c>
      <c r="BM82" s="283" t="str">
        <f t="shared" si="217"/>
        <v/>
      </c>
      <c r="BN82" s="283" t="str">
        <f t="shared" si="217"/>
        <v/>
      </c>
    </row>
    <row r="83" spans="13:67" ht="13.3" thickTop="1" thickBot="1" x14ac:dyDescent="0.35">
      <c r="AY83" s="274" t="str">
        <f t="shared" si="212"/>
        <v/>
      </c>
      <c r="AZ83" s="274" t="str">
        <f t="shared" si="213"/>
        <v/>
      </c>
      <c r="BA83" s="275" t="str">
        <f t="shared" si="214"/>
        <v/>
      </c>
      <c r="BB83" s="284"/>
      <c r="BC83" s="275" t="str">
        <f>IF($BA82="","",IF(AND($BD83&lt;&gt;"",$BD83&gt;$BA82),$BD83,IF(AND($BD84&lt;&gt;"",$BD84&gt;$BA82),$BD84,"")))</f>
        <v/>
      </c>
      <c r="BD83" s="275" t="str">
        <f t="shared" si="215"/>
        <v/>
      </c>
      <c r="BE83" s="279" t="s">
        <v>252</v>
      </c>
      <c r="BF83" s="275">
        <v>1.5</v>
      </c>
      <c r="BG83" s="280">
        <f>BM80</f>
        <v>0</v>
      </c>
      <c r="BH83" s="280">
        <f>BM80*$BG$76*$BH$76</f>
        <v>0</v>
      </c>
      <c r="BI83" s="283" t="str">
        <f t="shared" si="217"/>
        <v/>
      </c>
      <c r="BJ83" s="283" t="str">
        <f t="shared" si="217"/>
        <v/>
      </c>
      <c r="BK83" s="283" t="str">
        <f t="shared" si="217"/>
        <v/>
      </c>
      <c r="BL83" s="283" t="str">
        <f t="shared" si="217"/>
        <v/>
      </c>
      <c r="BM83" s="283" t="str">
        <f t="shared" si="217"/>
        <v/>
      </c>
      <c r="BN83" s="283" t="str">
        <f t="shared" si="217"/>
        <v/>
      </c>
    </row>
    <row r="84" spans="13:67" ht="13.3" thickTop="1" thickBot="1" x14ac:dyDescent="0.35">
      <c r="AY84" s="274" t="str">
        <f t="shared" si="212"/>
        <v/>
      </c>
      <c r="AZ84" s="274" t="str">
        <f t="shared" si="213"/>
        <v/>
      </c>
      <c r="BA84" s="275" t="str">
        <f t="shared" si="214"/>
        <v/>
      </c>
      <c r="BB84" s="284"/>
      <c r="BC84" s="275" t="str">
        <f>IF($BA83="","",IF(AND($BD84&lt;&gt;"",$BD84&gt;$BA83),$BD84,""))</f>
        <v/>
      </c>
      <c r="BD84" s="275" t="str">
        <f t="shared" si="215"/>
        <v/>
      </c>
      <c r="BE84" s="279" t="s">
        <v>253</v>
      </c>
      <c r="BF84" s="275">
        <v>2</v>
      </c>
      <c r="BG84" s="280">
        <f>BN80</f>
        <v>0</v>
      </c>
      <c r="BH84" s="280">
        <f>BN80*$BG$76*$BH$76</f>
        <v>0</v>
      </c>
      <c r="BI84" s="283" t="str">
        <f t="shared" si="217"/>
        <v/>
      </c>
      <c r="BJ84" s="283" t="str">
        <f t="shared" si="217"/>
        <v/>
      </c>
      <c r="BK84" s="283" t="str">
        <f t="shared" si="217"/>
        <v/>
      </c>
      <c r="BL84" s="283" t="str">
        <f t="shared" si="217"/>
        <v/>
      </c>
      <c r="BM84" s="283" t="str">
        <f t="shared" si="217"/>
        <v/>
      </c>
      <c r="BN84" s="283" t="str">
        <f t="shared" si="217"/>
        <v/>
      </c>
    </row>
    <row r="85" spans="13:67" ht="13.3" thickTop="1" thickBot="1" x14ac:dyDescent="0.35">
      <c r="M85" s="164"/>
      <c r="N85" s="67"/>
      <c r="BI85" s="283" t="str">
        <f t="shared" si="217"/>
        <v/>
      </c>
      <c r="BJ85" s="283" t="str">
        <f t="shared" si="217"/>
        <v/>
      </c>
      <c r="BK85" s="283" t="str">
        <f t="shared" si="217"/>
        <v/>
      </c>
      <c r="BL85" s="283" t="str">
        <f t="shared" si="217"/>
        <v/>
      </c>
      <c r="BM85" s="283" t="str">
        <f t="shared" si="217"/>
        <v/>
      </c>
      <c r="BN85" s="283" t="str">
        <f t="shared" si="217"/>
        <v/>
      </c>
    </row>
    <row r="86" spans="13:67" ht="13.3" thickTop="1" thickBot="1" x14ac:dyDescent="0.35">
      <c r="M86" s="23"/>
      <c r="N86" s="67"/>
      <c r="BI86" s="283" t="str">
        <f t="shared" si="217"/>
        <v/>
      </c>
      <c r="BJ86" s="283" t="str">
        <f t="shared" si="217"/>
        <v/>
      </c>
      <c r="BK86" s="283" t="str">
        <f t="shared" si="217"/>
        <v/>
      </c>
      <c r="BL86" s="283" t="str">
        <f t="shared" si="217"/>
        <v/>
      </c>
      <c r="BM86" s="283" t="str">
        <f t="shared" si="217"/>
        <v/>
      </c>
      <c r="BN86" s="283" t="str">
        <f t="shared" si="217"/>
        <v/>
      </c>
    </row>
    <row r="87" spans="13:67" ht="13.3" thickTop="1" thickBot="1" x14ac:dyDescent="0.35">
      <c r="BI87" s="283" t="str">
        <f t="shared" si="217"/>
        <v/>
      </c>
      <c r="BJ87" s="283" t="str">
        <f t="shared" si="217"/>
        <v/>
      </c>
      <c r="BK87" s="283" t="str">
        <f t="shared" si="217"/>
        <v/>
      </c>
      <c r="BL87" s="283" t="str">
        <f t="shared" si="217"/>
        <v/>
      </c>
      <c r="BM87" s="283" t="str">
        <f t="shared" si="217"/>
        <v/>
      </c>
      <c r="BN87" s="283" t="str">
        <f t="shared" si="217"/>
        <v/>
      </c>
    </row>
    <row r="88" spans="13:67" ht="13.3" thickTop="1" thickBot="1" x14ac:dyDescent="0.35">
      <c r="BI88" s="283" t="str">
        <f t="shared" si="217"/>
        <v/>
      </c>
      <c r="BJ88" s="283" t="str">
        <f t="shared" si="217"/>
        <v/>
      </c>
      <c r="BK88" s="283" t="str">
        <f t="shared" si="217"/>
        <v/>
      </c>
      <c r="BL88" s="283" t="str">
        <f t="shared" si="217"/>
        <v/>
      </c>
      <c r="BM88" s="283" t="str">
        <f t="shared" si="217"/>
        <v/>
      </c>
      <c r="BN88" s="283" t="str">
        <f t="shared" si="217"/>
        <v/>
      </c>
    </row>
    <row r="89" spans="13:67" ht="13.3" thickTop="1" thickBot="1" x14ac:dyDescent="0.35">
      <c r="BI89" s="283" t="str">
        <f t="shared" si="217"/>
        <v/>
      </c>
      <c r="BJ89" s="283" t="str">
        <f t="shared" si="217"/>
        <v/>
      </c>
      <c r="BK89" s="283" t="str">
        <f t="shared" si="217"/>
        <v/>
      </c>
      <c r="BL89" s="283" t="str">
        <f t="shared" si="217"/>
        <v/>
      </c>
      <c r="BM89" s="283" t="str">
        <f t="shared" si="217"/>
        <v/>
      </c>
      <c r="BN89" s="283" t="str">
        <f t="shared" si="217"/>
        <v/>
      </c>
    </row>
    <row r="90" spans="13:67" ht="13.3" thickTop="1" thickBot="1" x14ac:dyDescent="0.35">
      <c r="BI90" s="283" t="str">
        <f t="shared" si="217"/>
        <v/>
      </c>
      <c r="BJ90" s="283" t="str">
        <f t="shared" si="217"/>
        <v/>
      </c>
      <c r="BK90" s="283" t="str">
        <f t="shared" si="217"/>
        <v/>
      </c>
      <c r="BL90" s="283" t="str">
        <f t="shared" si="217"/>
        <v/>
      </c>
      <c r="BM90" s="283" t="str">
        <f t="shared" si="217"/>
        <v/>
      </c>
      <c r="BN90" s="283" t="str">
        <f t="shared" si="217"/>
        <v/>
      </c>
    </row>
    <row r="91" spans="13:67" ht="13.3" thickTop="1" thickBot="1" x14ac:dyDescent="0.35"/>
    <row r="92" spans="13:67" ht="13.3" thickTop="1" thickBot="1" x14ac:dyDescent="0.35">
      <c r="AY92" s="231" t="s">
        <v>257</v>
      </c>
      <c r="AZ92" s="222"/>
      <c r="BA92" s="222"/>
      <c r="BB92" s="223"/>
      <c r="BF92" s="332">
        <f>IF('Cálculo-Instalação Colectiva-MP'!AV53="","",'Cálculo-Instalação Colectiva-MP'!AV53)</f>
        <v>0</v>
      </c>
      <c r="BG92" s="331">
        <f>IF(SUM(B47:B56)&lt;&gt;"",1,0)</f>
        <v>1</v>
      </c>
      <c r="BH92" s="901">
        <f>IF(AND(BG$76=0,BG$92,0),0,IF(BG$76=0,BF$92,IF(AND($T$70&lt;&gt;"",$T$70&lt;='Cálculo-Instalação Colectiva-MP'!AV53),$BF$92-$T$70,IF(AND($T$70="",$BG$76&lt;&gt;0,$BG$92&lt;&gt;0,$CX$46=MAX($CX$25:$CX$46)),$BF$92,0))))</f>
        <v>0</v>
      </c>
    </row>
    <row r="93" spans="13:67" ht="15.9" thickTop="1" thickBot="1" x14ac:dyDescent="0.35">
      <c r="AY93" s="269" t="s">
        <v>243</v>
      </c>
      <c r="AZ93" s="158" t="s">
        <v>244</v>
      </c>
      <c r="BA93" s="183" t="s">
        <v>41</v>
      </c>
      <c r="BB93" s="270" t="s">
        <v>245</v>
      </c>
      <c r="BC93" s="271"/>
      <c r="BD93" s="183"/>
      <c r="BE93" s="269" t="s">
        <v>243</v>
      </c>
      <c r="BF93" s="269" t="s">
        <v>246</v>
      </c>
      <c r="BG93" s="158" t="s">
        <v>244</v>
      </c>
      <c r="BH93" s="333" t="s">
        <v>244</v>
      </c>
      <c r="BI93" s="272" t="s">
        <v>247</v>
      </c>
      <c r="BJ93" s="273"/>
      <c r="BK93" s="273"/>
      <c r="BL93" s="273"/>
      <c r="BM93" s="273"/>
      <c r="BN93" s="273"/>
      <c r="BO93" s="273"/>
    </row>
    <row r="94" spans="13:67" ht="13.3" thickTop="1" thickBot="1" x14ac:dyDescent="0.35">
      <c r="BH94" s="155" t="s">
        <v>259</v>
      </c>
      <c r="BI94" s="277" t="s">
        <v>248</v>
      </c>
      <c r="BJ94" s="277" t="s">
        <v>249</v>
      </c>
      <c r="BK94" s="277" t="s">
        <v>250</v>
      </c>
      <c r="BL94" s="277" t="s">
        <v>251</v>
      </c>
      <c r="BM94" s="277" t="s">
        <v>252</v>
      </c>
      <c r="BN94" s="277" t="s">
        <v>253</v>
      </c>
      <c r="BO94" s="278" t="s">
        <v>243</v>
      </c>
    </row>
    <row r="95" spans="13:67" ht="13.3" thickTop="1" thickBot="1" x14ac:dyDescent="0.35">
      <c r="AY95" s="274" t="str">
        <f t="shared" ref="AY95:AY100" si="218">IF(BA95="","",LOOKUP(BA95,$BF$95:$BF$100,$BE$95:$BE$100))</f>
        <v/>
      </c>
      <c r="AZ95" s="274" t="str">
        <f t="shared" ref="AZ95:AZ100" si="219">IF(BA95="","",LOOKUP(BA95,$BD$95:$BD$100,$BG$95:$BG$100))</f>
        <v/>
      </c>
      <c r="BA95" s="275" t="str">
        <f t="shared" ref="BA95:BA100" si="220">IF(AND(BB95="",BC95=""),"",MIN(BB95:BC95))</f>
        <v/>
      </c>
      <c r="BB95" s="276" t="str">
        <f>IF(OR(MIN($BD95:$BD100)="",MIN($BD95:$BD100)=0),"",MIN($BD95:$BD100))</f>
        <v/>
      </c>
      <c r="BC95" s="276" t="str">
        <f>IF(OR(MIN($BD95:$BD100)="",MIN($BD95:$BD100)=0),"",MIN($BD95:$BD100))</f>
        <v/>
      </c>
      <c r="BD95" s="275" t="str">
        <f t="shared" ref="BD95:BD100" si="221">IF(OR($BG95="",$BG95=0),"",$BF95)</f>
        <v/>
      </c>
      <c r="BE95" s="279" t="s">
        <v>248</v>
      </c>
      <c r="BF95" s="275">
        <v>0.5</v>
      </c>
      <c r="BG95" s="280">
        <f>BI96</f>
        <v>0</v>
      </c>
      <c r="BH95" s="280">
        <f>BI96*$BG$92*$BH$92</f>
        <v>0</v>
      </c>
      <c r="BI95" s="281">
        <v>16.100000000000001</v>
      </c>
      <c r="BJ95" s="281">
        <v>21.7</v>
      </c>
      <c r="BK95" s="281">
        <v>27.3</v>
      </c>
      <c r="BL95" s="281">
        <v>36</v>
      </c>
      <c r="BM95" s="281">
        <v>41.9</v>
      </c>
      <c r="BN95" s="281">
        <v>53.1</v>
      </c>
      <c r="BO95" s="278" t="s">
        <v>254</v>
      </c>
    </row>
    <row r="96" spans="13:67" ht="13.3" thickTop="1" thickBot="1" x14ac:dyDescent="0.35">
      <c r="AY96" s="274" t="str">
        <f t="shared" si="218"/>
        <v/>
      </c>
      <c r="AZ96" s="274" t="str">
        <f t="shared" si="219"/>
        <v/>
      </c>
      <c r="BA96" s="275" t="str">
        <f t="shared" si="220"/>
        <v/>
      </c>
      <c r="BB96" s="284"/>
      <c r="BC96" s="275" t="str">
        <f>IF($BA95="","",IF(AND($BD96&lt;&gt;"",$BD96&gt;$BA95),$BD96,IF(AND($BD97&lt;&gt;"",$BD97&gt;$BA95),$BD97,IF(AND($BD98&lt;&gt;"",$BD98&gt;$BA95),$BD98,IF(AND($BD99&lt;&gt;"",$BD99&gt;$BA95),$BD99,IF(AND($BD100&lt;&gt;"",$BD100&gt;$BA95),$BD100,""))))))</f>
        <v/>
      </c>
      <c r="BD96" s="275" t="str">
        <f t="shared" si="221"/>
        <v/>
      </c>
      <c r="BE96" s="279" t="s">
        <v>249</v>
      </c>
      <c r="BF96" s="275">
        <v>0.75</v>
      </c>
      <c r="BG96" s="280">
        <f>BJ96</f>
        <v>0</v>
      </c>
      <c r="BH96" s="280">
        <f>BJ96*$BG$92*$BH$92</f>
        <v>0</v>
      </c>
      <c r="BI96" s="282">
        <f t="shared" ref="BI96:BN96" si="222">SUM(BI97:BI106)</f>
        <v>0</v>
      </c>
      <c r="BJ96" s="282">
        <f t="shared" si="222"/>
        <v>0</v>
      </c>
      <c r="BK96" s="282">
        <f t="shared" si="222"/>
        <v>0</v>
      </c>
      <c r="BL96" s="282">
        <f t="shared" si="222"/>
        <v>0</v>
      </c>
      <c r="BM96" s="282">
        <f t="shared" si="222"/>
        <v>0</v>
      </c>
      <c r="BN96" s="282">
        <f t="shared" si="222"/>
        <v>0</v>
      </c>
      <c r="BO96" s="278" t="s">
        <v>255</v>
      </c>
    </row>
    <row r="97" spans="51:66" ht="13.3" thickTop="1" thickBot="1" x14ac:dyDescent="0.35">
      <c r="AY97" s="274" t="str">
        <f t="shared" si="218"/>
        <v/>
      </c>
      <c r="AZ97" s="274" t="str">
        <f t="shared" si="219"/>
        <v/>
      </c>
      <c r="BA97" s="275" t="str">
        <f t="shared" si="220"/>
        <v/>
      </c>
      <c r="BB97" s="284"/>
      <c r="BC97" s="275" t="str">
        <f>IF($BA96="","",IF(AND($BD97&lt;&gt;"",$BD97&gt;$BA96),$BD97,IF(AND($BD98&lt;&gt;"",$BD98&gt;$BA96),$BD98,IF(AND($BD99&lt;&gt;"",$BD99&gt;$BA96),$BD99,IF(AND($BD100&lt;&gt;"",$BD100&gt;$BA96),$BD100,"")))))</f>
        <v/>
      </c>
      <c r="BD97" s="275" t="str">
        <f t="shared" si="221"/>
        <v/>
      </c>
      <c r="BE97" s="279" t="s">
        <v>250</v>
      </c>
      <c r="BF97" s="275">
        <v>1</v>
      </c>
      <c r="BG97" s="280">
        <f>BK96</f>
        <v>0</v>
      </c>
      <c r="BH97" s="280">
        <f>BK96*$BG$92*$BH$92</f>
        <v>0</v>
      </c>
      <c r="BI97" s="283" t="str">
        <f t="shared" ref="BI97:BN106" si="223">IF($V47=BI$95,$M47,"")</f>
        <v/>
      </c>
      <c r="BJ97" s="283" t="str">
        <f t="shared" si="223"/>
        <v/>
      </c>
      <c r="BK97" s="283" t="str">
        <f t="shared" si="223"/>
        <v/>
      </c>
      <c r="BL97" s="283" t="str">
        <f t="shared" si="223"/>
        <v/>
      </c>
      <c r="BM97" s="283" t="str">
        <f t="shared" si="223"/>
        <v/>
      </c>
      <c r="BN97" s="283" t="str">
        <f t="shared" si="223"/>
        <v/>
      </c>
    </row>
    <row r="98" spans="51:66" ht="13.3" thickTop="1" thickBot="1" x14ac:dyDescent="0.35">
      <c r="AY98" s="274" t="str">
        <f t="shared" si="218"/>
        <v/>
      </c>
      <c r="AZ98" s="274" t="str">
        <f t="shared" si="219"/>
        <v/>
      </c>
      <c r="BA98" s="275" t="str">
        <f t="shared" si="220"/>
        <v/>
      </c>
      <c r="BB98" s="284"/>
      <c r="BC98" s="275" t="str">
        <f>IF($BA97="","",IF(AND($BD98&lt;&gt;"",$BD98&gt;$BA97),$BD98,IF(AND($BD99&lt;&gt;"",$BD99&gt;$BA97),$BD99,IF(AND($BD100&lt;&gt;"",$BD100&gt;$BA97),$BD100,""))))</f>
        <v/>
      </c>
      <c r="BD98" s="275" t="str">
        <f t="shared" si="221"/>
        <v/>
      </c>
      <c r="BE98" s="279" t="s">
        <v>251</v>
      </c>
      <c r="BF98" s="275">
        <v>1.25</v>
      </c>
      <c r="BG98" s="280">
        <f>BL96</f>
        <v>0</v>
      </c>
      <c r="BH98" s="280">
        <f>BL96*$BG$92*$BH$92</f>
        <v>0</v>
      </c>
      <c r="BI98" s="283" t="str">
        <f t="shared" si="223"/>
        <v/>
      </c>
      <c r="BJ98" s="283" t="str">
        <f t="shared" si="223"/>
        <v/>
      </c>
      <c r="BK98" s="283" t="str">
        <f t="shared" si="223"/>
        <v/>
      </c>
      <c r="BL98" s="283" t="str">
        <f t="shared" si="223"/>
        <v/>
      </c>
      <c r="BM98" s="283" t="str">
        <f t="shared" si="223"/>
        <v/>
      </c>
      <c r="BN98" s="283" t="str">
        <f t="shared" si="223"/>
        <v/>
      </c>
    </row>
    <row r="99" spans="51:66" ht="13.3" thickTop="1" thickBot="1" x14ac:dyDescent="0.35">
      <c r="AY99" s="274" t="str">
        <f t="shared" si="218"/>
        <v/>
      </c>
      <c r="AZ99" s="274" t="str">
        <f t="shared" si="219"/>
        <v/>
      </c>
      <c r="BA99" s="275" t="str">
        <f t="shared" si="220"/>
        <v/>
      </c>
      <c r="BB99" s="284"/>
      <c r="BC99" s="275" t="str">
        <f>IF($BA98="","",IF(AND($BD99&lt;&gt;"",$BD99&gt;$BA98),$BD99,IF(AND($BD100&lt;&gt;"",$BD100&gt;$BA98),$BD100,"")))</f>
        <v/>
      </c>
      <c r="BD99" s="275" t="str">
        <f t="shared" si="221"/>
        <v/>
      </c>
      <c r="BE99" s="279" t="s">
        <v>252</v>
      </c>
      <c r="BF99" s="275">
        <v>1.5</v>
      </c>
      <c r="BG99" s="280">
        <f>BM96</f>
        <v>0</v>
      </c>
      <c r="BH99" s="280">
        <f>BM96*$BG$92*$BH$92</f>
        <v>0</v>
      </c>
      <c r="BI99" s="283" t="str">
        <f t="shared" si="223"/>
        <v/>
      </c>
      <c r="BJ99" s="283" t="str">
        <f t="shared" si="223"/>
        <v/>
      </c>
      <c r="BK99" s="283" t="str">
        <f t="shared" si="223"/>
        <v/>
      </c>
      <c r="BL99" s="283" t="str">
        <f t="shared" si="223"/>
        <v/>
      </c>
      <c r="BM99" s="283" t="str">
        <f t="shared" si="223"/>
        <v/>
      </c>
      <c r="BN99" s="283" t="str">
        <f t="shared" si="223"/>
        <v/>
      </c>
    </row>
    <row r="100" spans="51:66" ht="13.3" thickTop="1" thickBot="1" x14ac:dyDescent="0.35">
      <c r="AY100" s="274" t="str">
        <f t="shared" si="218"/>
        <v/>
      </c>
      <c r="AZ100" s="274" t="str">
        <f t="shared" si="219"/>
        <v/>
      </c>
      <c r="BA100" s="275" t="str">
        <f t="shared" si="220"/>
        <v/>
      </c>
      <c r="BB100" s="284"/>
      <c r="BC100" s="275" t="str">
        <f>IF($BA99="","",IF(AND($BD100&lt;&gt;"",$BD100&gt;$BA99),$BD100,""))</f>
        <v/>
      </c>
      <c r="BD100" s="275" t="str">
        <f t="shared" si="221"/>
        <v/>
      </c>
      <c r="BE100" s="279" t="s">
        <v>253</v>
      </c>
      <c r="BF100" s="275">
        <v>2</v>
      </c>
      <c r="BG100" s="280">
        <f>BN96</f>
        <v>0</v>
      </c>
      <c r="BH100" s="280">
        <f>BN96*$BG$92*$BH$92</f>
        <v>0</v>
      </c>
      <c r="BI100" s="283" t="str">
        <f t="shared" si="223"/>
        <v/>
      </c>
      <c r="BJ100" s="283" t="str">
        <f t="shared" si="223"/>
        <v/>
      </c>
      <c r="BK100" s="283" t="str">
        <f t="shared" si="223"/>
        <v/>
      </c>
      <c r="BL100" s="283" t="str">
        <f t="shared" si="223"/>
        <v/>
      </c>
      <c r="BM100" s="283" t="str">
        <f t="shared" si="223"/>
        <v/>
      </c>
      <c r="BN100" s="283" t="str">
        <f t="shared" si="223"/>
        <v/>
      </c>
    </row>
    <row r="101" spans="51:66" ht="13.3" thickTop="1" thickBot="1" x14ac:dyDescent="0.35">
      <c r="BI101" s="283" t="str">
        <f t="shared" si="223"/>
        <v/>
      </c>
      <c r="BJ101" s="283" t="str">
        <f t="shared" si="223"/>
        <v/>
      </c>
      <c r="BK101" s="283" t="str">
        <f t="shared" si="223"/>
        <v/>
      </c>
      <c r="BL101" s="283" t="str">
        <f t="shared" si="223"/>
        <v/>
      </c>
      <c r="BM101" s="283" t="str">
        <f t="shared" si="223"/>
        <v/>
      </c>
      <c r="BN101" s="283" t="str">
        <f t="shared" si="223"/>
        <v/>
      </c>
    </row>
    <row r="102" spans="51:66" ht="13.3" thickTop="1" thickBot="1" x14ac:dyDescent="0.35">
      <c r="BI102" s="283" t="str">
        <f t="shared" si="223"/>
        <v/>
      </c>
      <c r="BJ102" s="283" t="str">
        <f t="shared" si="223"/>
        <v/>
      </c>
      <c r="BK102" s="283" t="str">
        <f t="shared" si="223"/>
        <v/>
      </c>
      <c r="BL102" s="283" t="str">
        <f t="shared" si="223"/>
        <v/>
      </c>
      <c r="BM102" s="283" t="str">
        <f t="shared" si="223"/>
        <v/>
      </c>
      <c r="BN102" s="283" t="str">
        <f t="shared" si="223"/>
        <v/>
      </c>
    </row>
    <row r="103" spans="51:66" ht="13.3" thickTop="1" thickBot="1" x14ac:dyDescent="0.35">
      <c r="BI103" s="283" t="str">
        <f t="shared" si="223"/>
        <v/>
      </c>
      <c r="BJ103" s="283" t="str">
        <f t="shared" si="223"/>
        <v/>
      </c>
      <c r="BK103" s="283" t="str">
        <f t="shared" si="223"/>
        <v/>
      </c>
      <c r="BL103" s="283" t="str">
        <f t="shared" si="223"/>
        <v/>
      </c>
      <c r="BM103" s="283" t="str">
        <f t="shared" si="223"/>
        <v/>
      </c>
      <c r="BN103" s="283" t="str">
        <f t="shared" si="223"/>
        <v/>
      </c>
    </row>
    <row r="104" spans="51:66" ht="13.3" thickTop="1" thickBot="1" x14ac:dyDescent="0.35">
      <c r="BI104" s="283" t="str">
        <f t="shared" si="223"/>
        <v/>
      </c>
      <c r="BJ104" s="283" t="str">
        <f t="shared" si="223"/>
        <v/>
      </c>
      <c r="BK104" s="283" t="str">
        <f t="shared" si="223"/>
        <v/>
      </c>
      <c r="BL104" s="283" t="str">
        <f t="shared" si="223"/>
        <v/>
      </c>
      <c r="BM104" s="283" t="str">
        <f t="shared" si="223"/>
        <v/>
      </c>
      <c r="BN104" s="283" t="str">
        <f t="shared" si="223"/>
        <v/>
      </c>
    </row>
    <row r="105" spans="51:66" ht="13.3" thickTop="1" thickBot="1" x14ac:dyDescent="0.35">
      <c r="BI105" s="283" t="str">
        <f t="shared" si="223"/>
        <v/>
      </c>
      <c r="BJ105" s="283" t="str">
        <f t="shared" si="223"/>
        <v/>
      </c>
      <c r="BK105" s="283" t="str">
        <f t="shared" si="223"/>
        <v/>
      </c>
      <c r="BL105" s="283" t="str">
        <f t="shared" si="223"/>
        <v/>
      </c>
      <c r="BM105" s="283" t="str">
        <f t="shared" si="223"/>
        <v/>
      </c>
      <c r="BN105" s="283" t="str">
        <f t="shared" si="223"/>
        <v/>
      </c>
    </row>
    <row r="106" spans="51:66" ht="13.3" thickTop="1" thickBot="1" x14ac:dyDescent="0.35">
      <c r="BI106" s="283" t="str">
        <f t="shared" si="223"/>
        <v/>
      </c>
      <c r="BJ106" s="283" t="str">
        <f t="shared" si="223"/>
        <v/>
      </c>
      <c r="BK106" s="283" t="str">
        <f t="shared" si="223"/>
        <v/>
      </c>
      <c r="BL106" s="283" t="str">
        <f t="shared" si="223"/>
        <v/>
      </c>
      <c r="BM106" s="283" t="str">
        <f t="shared" si="223"/>
        <v/>
      </c>
      <c r="BN106" s="283" t="str">
        <f t="shared" si="223"/>
        <v/>
      </c>
    </row>
    <row r="107" spans="51:66" ht="12.9" thickTop="1" x14ac:dyDescent="0.3"/>
  </sheetData>
  <sheetProtection algorithmName="SHA-512" hashValue="Gssbqw/7xzlxzGiwIdunWRG6AZy5aiDQkLvjM7+Ke7dRbW33g8NnKiMKReqFxmxH2CXdhzd2PdORS5rW81nbsQ==" saltValue="3XhpiAtWsCFuW14IdQup6g==" spinCount="100000" sheet="1" objects="1" scenarios="1"/>
  <mergeCells count="94">
    <mergeCell ref="T64:T69"/>
    <mergeCell ref="Z65:AA65"/>
    <mergeCell ref="Z66:AA66"/>
    <mergeCell ref="Z67:AA67"/>
    <mergeCell ref="Z68:AA68"/>
    <mergeCell ref="Z69:AA69"/>
    <mergeCell ref="Z64:AA64"/>
    <mergeCell ref="AH34:AI34"/>
    <mergeCell ref="AH31:AI31"/>
    <mergeCell ref="AH46:AI46"/>
    <mergeCell ref="AH35:AI35"/>
    <mergeCell ref="AH49:AI49"/>
    <mergeCell ref="AH48:AI48"/>
    <mergeCell ref="AH47:AI47"/>
    <mergeCell ref="AH29:AI29"/>
    <mergeCell ref="AM29:AN29"/>
    <mergeCell ref="G24:H24"/>
    <mergeCell ref="AH21:AI21"/>
    <mergeCell ref="AM21:AN21"/>
    <mergeCell ref="Z23:AA23"/>
    <mergeCell ref="AB22:AE22"/>
    <mergeCell ref="AJ22:AK22"/>
    <mergeCell ref="AH27:AI27"/>
    <mergeCell ref="AH26:AI26"/>
    <mergeCell ref="AH25:AI25"/>
    <mergeCell ref="AH28:AI28"/>
    <mergeCell ref="D21:E21"/>
    <mergeCell ref="Y21:AA21"/>
    <mergeCell ref="G23:H23"/>
    <mergeCell ref="AF22:AI22"/>
    <mergeCell ref="G21:H21"/>
    <mergeCell ref="M22:P22"/>
    <mergeCell ref="C23:E23"/>
    <mergeCell ref="C22:E22"/>
    <mergeCell ref="F22:H22"/>
    <mergeCell ref="T22:AA22"/>
    <mergeCell ref="AM30:AN30"/>
    <mergeCell ref="AM32:AN32"/>
    <mergeCell ref="AH33:AI33"/>
    <mergeCell ref="AM31:AN31"/>
    <mergeCell ref="AM33:AN33"/>
    <mergeCell ref="AH32:AI32"/>
    <mergeCell ref="V2:Z2"/>
    <mergeCell ref="AC2:AL2"/>
    <mergeCell ref="AH20:AI20"/>
    <mergeCell ref="AN2:AR2"/>
    <mergeCell ref="Z38:AA38"/>
    <mergeCell ref="Z24:AA24"/>
    <mergeCell ref="Z37:AA37"/>
    <mergeCell ref="AM35:AN35"/>
    <mergeCell ref="AM34:AN34"/>
    <mergeCell ref="AH30:AI30"/>
    <mergeCell ref="AM23:AN23"/>
    <mergeCell ref="AH23:AI23"/>
    <mergeCell ref="AM27:AN27"/>
    <mergeCell ref="AM28:AN28"/>
    <mergeCell ref="AM26:AN26"/>
    <mergeCell ref="AM25:AN25"/>
    <mergeCell ref="AM37:AN37"/>
    <mergeCell ref="AM46:AN46"/>
    <mergeCell ref="AM38:AN38"/>
    <mergeCell ref="AM48:AN48"/>
    <mergeCell ref="AM47:AN47"/>
    <mergeCell ref="AM45:AN45"/>
    <mergeCell ref="AM55:AN55"/>
    <mergeCell ref="AH55:AI55"/>
    <mergeCell ref="AM51:AN51"/>
    <mergeCell ref="AH51:AI51"/>
    <mergeCell ref="AM39:AN39"/>
    <mergeCell ref="Z60:AA60"/>
    <mergeCell ref="Z59:AA59"/>
    <mergeCell ref="AM59:AN59"/>
    <mergeCell ref="AM20:AN20"/>
    <mergeCell ref="AL22:AN22"/>
    <mergeCell ref="AM60:AN60"/>
    <mergeCell ref="AM58:AN58"/>
    <mergeCell ref="AM54:AN54"/>
    <mergeCell ref="AH56:AI56"/>
    <mergeCell ref="AM50:AN50"/>
    <mergeCell ref="AM56:AN56"/>
    <mergeCell ref="AM49:AN49"/>
    <mergeCell ref="AM52:AN52"/>
    <mergeCell ref="AH53:AI53"/>
    <mergeCell ref="AM53:AN53"/>
    <mergeCell ref="Z58:AA58"/>
    <mergeCell ref="D39:E39"/>
    <mergeCell ref="Z39:AA39"/>
    <mergeCell ref="G45:H45"/>
    <mergeCell ref="AH54:AI54"/>
    <mergeCell ref="D45:E45"/>
    <mergeCell ref="Y45:AA45"/>
    <mergeCell ref="AH45:AI45"/>
    <mergeCell ref="AH52:AI52"/>
    <mergeCell ref="AH50:AI50"/>
  </mergeCells>
  <phoneticPr fontId="0" type="noConversion"/>
  <conditionalFormatting sqref="AH64 R70">
    <cfRule type="cellIs" dxfId="203" priority="176" stopIfTrue="1" operator="equal">
      <formula>"Erro:"</formula>
    </cfRule>
  </conditionalFormatting>
  <conditionalFormatting sqref="T64:T69">
    <cfRule type="cellIs" dxfId="202" priority="177" stopIfTrue="1" operator="notEqual">
      <formula>""</formula>
    </cfRule>
  </conditionalFormatting>
  <conditionalFormatting sqref="V70">
    <cfRule type="cellIs" dxfId="201" priority="178" stopIfTrue="1" operator="equal">
      <formula>"ATENÇÃO: O nº total de fogos correspondentes à 1ª Instalação Individual, não pode ser superior ao nº total de fogos existentes."</formula>
    </cfRule>
  </conditionalFormatting>
  <conditionalFormatting sqref="V64:V69 V58:V60 V37:V39 AK58:AK60 AK37:AK38">
    <cfRule type="cellIs" dxfId="200" priority="179" stopIfTrue="1" operator="notEqual">
      <formula>""</formula>
    </cfRule>
  </conditionalFormatting>
  <conditionalFormatting sqref="Y64:Y69 Y58:Y60 Y37:Y39 AL37:AL38 AL58:AL60">
    <cfRule type="cellIs" dxfId="199" priority="180" stopIfTrue="1" operator="notEqual">
      <formula>""</formula>
    </cfRule>
  </conditionalFormatting>
  <conditionalFormatting sqref="Z64:AA69 AM37:AN38 AM58:AN60 Z58:AA60 Z37:AA39">
    <cfRule type="cellIs" dxfId="198" priority="181" stopIfTrue="1" operator="notEqual">
      <formula>""</formula>
    </cfRule>
  </conditionalFormatting>
  <conditionalFormatting sqref="Y8 AG8">
    <cfRule type="cellIs" dxfId="197" priority="182" stopIfTrue="1" operator="equal">
      <formula>"decrescente de Potência!..."</formula>
    </cfRule>
  </conditionalFormatting>
  <conditionalFormatting sqref="AB47:AB56 AB26:AB35">
    <cfRule type="cellIs" dxfId="196" priority="183" stopIfTrue="1" operator="equal">
      <formula>$AY$11</formula>
    </cfRule>
  </conditionalFormatting>
  <conditionalFormatting sqref="AH47:AI56 AM26:AN35 AH26:AI35 AM47:AN56">
    <cfRule type="cellIs" dxfId="195" priority="184" stopIfTrue="1" operator="equal">
      <formula>"Redimensionar"</formula>
    </cfRule>
    <cfRule type="cellIs" dxfId="194" priority="185" stopIfTrue="1" operator="equal">
      <formula>"Conforme"</formula>
    </cfRule>
  </conditionalFormatting>
  <conditionalFormatting sqref="M5 O5">
    <cfRule type="cellIs" dxfId="193" priority="186" stopIfTrue="1" operator="equal">
      <formula>" Atenção: Seleccione correctamente o Gás a utilizar."</formula>
    </cfRule>
  </conditionalFormatting>
  <conditionalFormatting sqref="M22:P22">
    <cfRule type="cellIs" dxfId="192" priority="187" stopIfTrue="1" operator="equal">
      <formula>"Erro: L não pode ser inferior a h"</formula>
    </cfRule>
  </conditionalFormatting>
  <conditionalFormatting sqref="N26:N35 N47:N56">
    <cfRule type="cellIs" dxfId="191" priority="188" stopIfTrue="1" operator="notBetween">
      <formula>$M26</formula>
      <formula>-$M26</formula>
    </cfRule>
  </conditionalFormatting>
  <conditionalFormatting sqref="AP26:AP35 AP47:AP56">
    <cfRule type="cellIs" dxfId="190" priority="189" stopIfTrue="1" operator="equal">
      <formula>4</formula>
    </cfRule>
  </conditionalFormatting>
  <conditionalFormatting sqref="V26">
    <cfRule type="cellIs" dxfId="189" priority="175" stopIfTrue="1" operator="lessThan">
      <formula>BJ26</formula>
    </cfRule>
  </conditionalFormatting>
  <conditionalFormatting sqref="V27">
    <cfRule type="cellIs" dxfId="188" priority="174" stopIfTrue="1" operator="lessThan">
      <formula>BJ27</formula>
    </cfRule>
  </conditionalFormatting>
  <conditionalFormatting sqref="V28">
    <cfRule type="cellIs" dxfId="187" priority="173" stopIfTrue="1" operator="lessThan">
      <formula>BJ28</formula>
    </cfRule>
  </conditionalFormatting>
  <conditionalFormatting sqref="V29">
    <cfRule type="cellIs" dxfId="186" priority="172" stopIfTrue="1" operator="lessThan">
      <formula>BJ29</formula>
    </cfRule>
  </conditionalFormatting>
  <conditionalFormatting sqref="V30">
    <cfRule type="cellIs" dxfId="185" priority="171" stopIfTrue="1" operator="lessThan">
      <formula>BJ30</formula>
    </cfRule>
  </conditionalFormatting>
  <conditionalFormatting sqref="V31">
    <cfRule type="cellIs" dxfId="184" priority="170" stopIfTrue="1" operator="lessThan">
      <formula>BJ31</formula>
    </cfRule>
  </conditionalFormatting>
  <conditionalFormatting sqref="V32">
    <cfRule type="cellIs" dxfId="183" priority="169" stopIfTrue="1" operator="lessThan">
      <formula>BJ32</formula>
    </cfRule>
  </conditionalFormatting>
  <conditionalFormatting sqref="V33">
    <cfRule type="cellIs" dxfId="182" priority="168" stopIfTrue="1" operator="lessThan">
      <formula>BJ33</formula>
    </cfRule>
  </conditionalFormatting>
  <conditionalFormatting sqref="V34">
    <cfRule type="cellIs" dxfId="181" priority="167" stopIfTrue="1" operator="lessThan">
      <formula>BJ34</formula>
    </cfRule>
  </conditionalFormatting>
  <conditionalFormatting sqref="V35">
    <cfRule type="cellIs" dxfId="180" priority="166" stopIfTrue="1" operator="lessThan">
      <formula>BJ35</formula>
    </cfRule>
  </conditionalFormatting>
  <conditionalFormatting sqref="V47">
    <cfRule type="cellIs" dxfId="179" priority="165" stopIfTrue="1" operator="lessThan">
      <formula>BJ47</formula>
    </cfRule>
  </conditionalFormatting>
  <conditionalFormatting sqref="V48">
    <cfRule type="cellIs" dxfId="178" priority="164" stopIfTrue="1" operator="lessThan">
      <formula>BJ48</formula>
    </cfRule>
  </conditionalFormatting>
  <conditionalFormatting sqref="V49">
    <cfRule type="cellIs" dxfId="177" priority="163" stopIfTrue="1" operator="lessThan">
      <formula>BJ49</formula>
    </cfRule>
  </conditionalFormatting>
  <conditionalFormatting sqref="V50">
    <cfRule type="cellIs" dxfId="176" priority="162" stopIfTrue="1" operator="lessThan">
      <formula>BJ50</formula>
    </cfRule>
  </conditionalFormatting>
  <conditionalFormatting sqref="V51">
    <cfRule type="cellIs" dxfId="175" priority="161" stopIfTrue="1" operator="lessThan">
      <formula>BJ51</formula>
    </cfRule>
  </conditionalFormatting>
  <conditionalFormatting sqref="V52">
    <cfRule type="cellIs" dxfId="174" priority="160" stopIfTrue="1" operator="lessThan">
      <formula>BJ52</formula>
    </cfRule>
  </conditionalFormatting>
  <conditionalFormatting sqref="V53">
    <cfRule type="cellIs" dxfId="173" priority="159" stopIfTrue="1" operator="lessThan">
      <formula>BJ53</formula>
    </cfRule>
  </conditionalFormatting>
  <conditionalFormatting sqref="V54">
    <cfRule type="cellIs" dxfId="172" priority="158" stopIfTrue="1" operator="lessThan">
      <formula>BJ54</formula>
    </cfRule>
  </conditionalFormatting>
  <conditionalFormatting sqref="V55">
    <cfRule type="cellIs" dxfId="171" priority="157" stopIfTrue="1" operator="lessThan">
      <formula>BJ55</formula>
    </cfRule>
  </conditionalFormatting>
  <conditionalFormatting sqref="V56">
    <cfRule type="cellIs" dxfId="170" priority="156" stopIfTrue="1" operator="lessThan">
      <formula>BJ56</formula>
    </cfRule>
  </conditionalFormatting>
  <conditionalFormatting sqref="D5:Q9">
    <cfRule type="expression" dxfId="169" priority="155">
      <formula>AND(CELL("lin")=ROW(),CELL("col")&gt;=4,CELL("col")&lt;=17)</formula>
    </cfRule>
  </conditionalFormatting>
  <conditionalFormatting sqref="C10:H12 N10:Q12">
    <cfRule type="expression" dxfId="168" priority="154">
      <formula>AND(CELL("lin")=ROW(),CELL("col")&gt;=3,CELL("col")&lt;=17)</formula>
    </cfRule>
  </conditionalFormatting>
  <conditionalFormatting sqref="C13:Q14">
    <cfRule type="expression" dxfId="167" priority="153">
      <formula>AND(CELL("lin")=ROW(),CELL("col")&gt;=3,CELL("col")&lt;=17)</formula>
    </cfRule>
  </conditionalFormatting>
  <conditionalFormatting sqref="V9:AD13">
    <cfRule type="expression" dxfId="166" priority="152">
      <formula>AND(CELL("lin")=ROW(),CELL("col")=22)</formula>
    </cfRule>
  </conditionalFormatting>
  <conditionalFormatting sqref="AF9:AN13">
    <cfRule type="expression" dxfId="165" priority="151">
      <formula>AND(CELL("lin")=ROW(),CELL("col")=32)</formula>
    </cfRule>
  </conditionalFormatting>
  <conditionalFormatting sqref="G37:P39">
    <cfRule type="expression" dxfId="164" priority="150">
      <formula>AND(CELL("lin")=ROW(),CELL("col")&gt;=7,CELL("col")&lt;=16)</formula>
    </cfRule>
  </conditionalFormatting>
  <conditionalFormatting sqref="G58:P60">
    <cfRule type="expression" dxfId="163" priority="149">
      <formula>AND(CELL("lin")=ROW(),CELL("col")&gt;=7,CELL("col")&lt;=16)</formula>
    </cfRule>
  </conditionalFormatting>
  <conditionalFormatting sqref="C26:C35 F27:F35 P26:R35 V26:AN35">
    <cfRule type="expression" dxfId="162" priority="146">
      <formula>AND(CELL("lin")=ROW(),CELL("col")&gt;=3,CELL("col")&lt;=40)</formula>
    </cfRule>
  </conditionalFormatting>
  <conditionalFormatting sqref="C47:C56 F48:F56 P47:R56 V47:AN56">
    <cfRule type="expression" dxfId="161" priority="145">
      <formula>AND(CELL("lin")=ROW(),CELL("col")&gt;=3,CELL("col")&lt;=40)</formula>
    </cfRule>
  </conditionalFormatting>
  <conditionalFormatting sqref="D26:E35 F26 G26:N35">
    <cfRule type="expression" dxfId="160" priority="144">
      <formula>AND(CELL("lin")=ROW(),CELL("col")&gt;=3,CELL("col")&lt;=40)</formula>
    </cfRule>
  </conditionalFormatting>
  <conditionalFormatting sqref="O26:O35 T26:T35">
    <cfRule type="expression" dxfId="159" priority="143">
      <formula>AND(CELL("lin")=ROW(),CELL("col")&gt;=3,CELL("col")&lt;=40)</formula>
    </cfRule>
  </conditionalFormatting>
  <conditionalFormatting sqref="D47:E56 F47 G47:N56">
    <cfRule type="expression" dxfId="158" priority="142">
      <formula>AND(CELL("lin")=ROW(),CELL("col")&gt;=3,CELL("col")&lt;=40)</formula>
    </cfRule>
  </conditionalFormatting>
  <conditionalFormatting sqref="O47:O56 T47:T56">
    <cfRule type="expression" dxfId="157" priority="141">
      <formula>AND(CELL("lin")=ROW(),CELL("col")&gt;=3,CELL("col")&lt;=40)</formula>
    </cfRule>
  </conditionalFormatting>
  <conditionalFormatting sqref="D26">
    <cfRule type="expression" dxfId="156" priority="140">
      <formula>AND(D26="",OR($E$26&lt;&gt;"",$M$26&lt;&gt;""))</formula>
    </cfRule>
  </conditionalFormatting>
  <conditionalFormatting sqref="D27">
    <cfRule type="expression" dxfId="155" priority="139">
      <formula>AND(D27="",OR($E$27&lt;&gt;"",$M$27&lt;&gt;""))</formula>
    </cfRule>
  </conditionalFormatting>
  <conditionalFormatting sqref="D28">
    <cfRule type="expression" dxfId="154" priority="138">
      <formula>AND(D28="",OR($E$28&lt;&gt;"",$M$28&lt;&gt;""))</formula>
    </cfRule>
  </conditionalFormatting>
  <conditionalFormatting sqref="D29">
    <cfRule type="expression" dxfId="153" priority="137">
      <formula>AND(D29="",OR($E$29&lt;&gt;"",$M$29&lt;&gt;""))</formula>
    </cfRule>
  </conditionalFormatting>
  <conditionalFormatting sqref="D30">
    <cfRule type="expression" dxfId="152" priority="136">
      <formula>AND(D30="",OR($E$30&lt;&gt;"",$M$30&gt;""))</formula>
    </cfRule>
  </conditionalFormatting>
  <conditionalFormatting sqref="D31">
    <cfRule type="expression" dxfId="151" priority="135">
      <formula>AND(D31="",OR($E$31&lt;&gt;"",$M$31&gt;""))</formula>
    </cfRule>
  </conditionalFormatting>
  <conditionalFormatting sqref="D32">
    <cfRule type="expression" dxfId="150" priority="134">
      <formula>AND(D32="",OR($E$32&lt;&gt;"",$M$32&gt;""))</formula>
    </cfRule>
  </conditionalFormatting>
  <conditionalFormatting sqref="D33">
    <cfRule type="expression" dxfId="149" priority="133">
      <formula>AND(D33="",OR($E$33&lt;&gt;"",$M$33&gt;""))</formula>
    </cfRule>
  </conditionalFormatting>
  <conditionalFormatting sqref="D34">
    <cfRule type="expression" dxfId="148" priority="132">
      <formula>AND(D34="",OR($E$34&lt;&gt;"",$M$34&gt;""))</formula>
    </cfRule>
  </conditionalFormatting>
  <conditionalFormatting sqref="D35">
    <cfRule type="expression" dxfId="147" priority="131">
      <formula>AND(D35="",OR($E$35&lt;&gt;"",$M$35&gt;""))</formula>
    </cfRule>
  </conditionalFormatting>
  <conditionalFormatting sqref="D47">
    <cfRule type="expression" dxfId="146" priority="130">
      <formula>AND(D47="",OR($E$47&lt;&gt;"",$M$47&gt;""))</formula>
    </cfRule>
  </conditionalFormatting>
  <conditionalFormatting sqref="D48">
    <cfRule type="expression" dxfId="145" priority="129">
      <formula>AND(D48="",OR($E$48&lt;&gt;"",$M$48&gt;""))</formula>
    </cfRule>
  </conditionalFormatting>
  <conditionalFormatting sqref="D49">
    <cfRule type="expression" dxfId="144" priority="128">
      <formula>AND(D49="",OR($E$49&lt;&gt;"",$M$49&gt;""))</formula>
    </cfRule>
  </conditionalFormatting>
  <conditionalFormatting sqref="D50">
    <cfRule type="expression" dxfId="143" priority="127">
      <formula>AND(D50="",OR($E$50&lt;&gt;"",$M$50&gt;""))</formula>
    </cfRule>
  </conditionalFormatting>
  <conditionalFormatting sqref="D51">
    <cfRule type="expression" dxfId="142" priority="126">
      <formula>AND(D51="",OR($E$51&lt;&gt;"",$M$51&gt;""))</formula>
    </cfRule>
  </conditionalFormatting>
  <conditionalFormatting sqref="D52">
    <cfRule type="expression" dxfId="141" priority="125">
      <formula>AND(D52="",OR($E$52&lt;&gt;"",$M$52&gt;""))</formula>
    </cfRule>
  </conditionalFormatting>
  <conditionalFormatting sqref="D53">
    <cfRule type="expression" dxfId="140" priority="124">
      <formula>AND(D53="",OR($E$53&lt;&gt;"",$M$53&gt;""))</formula>
    </cfRule>
  </conditionalFormatting>
  <conditionalFormatting sqref="D54">
    <cfRule type="expression" dxfId="139" priority="123">
      <formula>AND(D54="",OR($E$54&lt;&gt;"",$M$54&gt;""))</formula>
    </cfRule>
  </conditionalFormatting>
  <conditionalFormatting sqref="D55">
    <cfRule type="expression" dxfId="138" priority="122">
      <formula>AND(D55="",OR($E$55&lt;&gt;"",$M$55&gt;""))</formula>
    </cfRule>
  </conditionalFormatting>
  <conditionalFormatting sqref="D56">
    <cfRule type="expression" dxfId="137" priority="121">
      <formula>AND(D56="",OR($E$56&lt;&gt;"",$M$56&gt;""))</formula>
    </cfRule>
  </conditionalFormatting>
  <conditionalFormatting sqref="E26">
    <cfRule type="expression" dxfId="136" priority="120">
      <formula>AND($E$26="",$D$26&gt;"",$M$26&lt;&gt;"")</formula>
    </cfRule>
  </conditionalFormatting>
  <conditionalFormatting sqref="E27">
    <cfRule type="expression" dxfId="135" priority="119">
      <formula>AND($E$27="",$D$27&gt;"",$M$27&lt;&gt;"")</formula>
    </cfRule>
  </conditionalFormatting>
  <conditionalFormatting sqref="E28">
    <cfRule type="expression" dxfId="134" priority="118">
      <formula>AND($E$28="",$D$28&gt;"",$M$28&lt;&gt;"")</formula>
    </cfRule>
  </conditionalFormatting>
  <conditionalFormatting sqref="E29">
    <cfRule type="expression" dxfId="133" priority="117">
      <formula>AND($E$29="",$D$29&gt;"",$M$29&lt;&gt;"")</formula>
    </cfRule>
  </conditionalFormatting>
  <conditionalFormatting sqref="E30">
    <cfRule type="expression" dxfId="132" priority="116">
      <formula>AND($E$30="",$D$30&gt;"",$M$30&lt;&gt;"")</formula>
    </cfRule>
  </conditionalFormatting>
  <conditionalFormatting sqref="E31">
    <cfRule type="expression" dxfId="131" priority="115">
      <formula>AND($E$31="",$D$31&gt;"",$M$31&lt;&gt;"")</formula>
    </cfRule>
  </conditionalFormatting>
  <conditionalFormatting sqref="E32">
    <cfRule type="expression" dxfId="130" priority="114">
      <formula>AND($E$32="",$D$32&gt;"",$M$32&lt;&gt;"")</formula>
    </cfRule>
  </conditionalFormatting>
  <conditionalFormatting sqref="E33">
    <cfRule type="expression" dxfId="129" priority="113">
      <formula>AND($E$33="",$D$33&gt;"",$M$33&lt;&gt;"")</formula>
    </cfRule>
  </conditionalFormatting>
  <conditionalFormatting sqref="E34">
    <cfRule type="expression" dxfId="128" priority="112">
      <formula>AND($E$34="",$D$34&gt;"",$M$34&lt;&gt;"")</formula>
    </cfRule>
  </conditionalFormatting>
  <conditionalFormatting sqref="E35">
    <cfRule type="expression" dxfId="127" priority="111">
      <formula>AND($E$35="",$D$35&gt;"",$M$35&lt;&gt;"")</formula>
    </cfRule>
  </conditionalFormatting>
  <conditionalFormatting sqref="E47">
    <cfRule type="expression" dxfId="126" priority="110">
      <formula>AND($E$47="",$D$47&gt;"",$M$47&lt;&gt;"")</formula>
    </cfRule>
  </conditionalFormatting>
  <conditionalFormatting sqref="E48">
    <cfRule type="expression" dxfId="125" priority="109">
      <formula>AND($E$48="",$D$48&gt;"",$M$48&lt;&gt;"")</formula>
    </cfRule>
  </conditionalFormatting>
  <conditionalFormatting sqref="E49">
    <cfRule type="expression" dxfId="124" priority="108">
      <formula>AND($E$49="",$D$49&gt;"",$M$49&lt;&gt;"")</formula>
    </cfRule>
  </conditionalFormatting>
  <conditionalFormatting sqref="E50">
    <cfRule type="expression" dxfId="123" priority="107">
      <formula>AND($E$50="",$D$50&gt;"",$M$50&lt;&gt;"")</formula>
    </cfRule>
  </conditionalFormatting>
  <conditionalFormatting sqref="E51">
    <cfRule type="expression" dxfId="122" priority="106">
      <formula>AND($E$51="",$D$51&gt;"",$M$51&lt;&gt;"")</formula>
    </cfRule>
  </conditionalFormatting>
  <conditionalFormatting sqref="E52">
    <cfRule type="expression" dxfId="121" priority="105">
      <formula>AND($E$52="",$D$52&gt;"",$M$52&lt;&gt;"")</formula>
    </cfRule>
  </conditionalFormatting>
  <conditionalFormatting sqref="E53">
    <cfRule type="expression" dxfId="120" priority="104">
      <formula>AND($E$53="",$D$53&gt;"",$M$53&lt;&gt;"")</formula>
    </cfRule>
  </conditionalFormatting>
  <conditionalFormatting sqref="E54">
    <cfRule type="expression" dxfId="119" priority="103">
      <formula>AND($E$54="",$D$54&gt;"",$M$54&lt;&gt;"")</formula>
    </cfRule>
  </conditionalFormatting>
  <conditionalFormatting sqref="E55">
    <cfRule type="expression" dxfId="118" priority="102">
      <formula>AND($E$55="",$D$55&gt;"",$M$55&lt;&gt;"")</formula>
    </cfRule>
  </conditionalFormatting>
  <conditionalFormatting sqref="E56">
    <cfRule type="expression" dxfId="117" priority="101">
      <formula>AND($E$56="",$D$56&gt;"",$M$56&lt;&gt;"")</formula>
    </cfRule>
  </conditionalFormatting>
  <conditionalFormatting sqref="M26">
    <cfRule type="expression" dxfId="116" priority="100">
      <formula>AND(M26&lt;&gt;"",OR($D$26="",$E$26=""))</formula>
    </cfRule>
  </conditionalFormatting>
  <conditionalFormatting sqref="M27">
    <cfRule type="expression" dxfId="115" priority="99">
      <formula>AND(M27&lt;&gt;"",OR($D$27="",$E$27=""))</formula>
    </cfRule>
  </conditionalFormatting>
  <conditionalFormatting sqref="M28">
    <cfRule type="expression" dxfId="114" priority="98">
      <formula>AND(M28&lt;&gt;"",OR($D$28="",$E$28=""))</formula>
    </cfRule>
  </conditionalFormatting>
  <conditionalFormatting sqref="M29">
    <cfRule type="expression" dxfId="113" priority="97">
      <formula>AND(M29&lt;&gt;"",OR($D$29="",$E$29=""))</formula>
    </cfRule>
  </conditionalFormatting>
  <conditionalFormatting sqref="M30">
    <cfRule type="expression" dxfId="112" priority="96">
      <formula>AND(M30&lt;&gt;"",OR($D$30="",$E$30=""))</formula>
    </cfRule>
  </conditionalFormatting>
  <conditionalFormatting sqref="M31">
    <cfRule type="expression" dxfId="111" priority="95">
      <formula>AND(M31&lt;&gt;"",OR($D$31="",$E$31=""))</formula>
    </cfRule>
  </conditionalFormatting>
  <conditionalFormatting sqref="M32">
    <cfRule type="expression" dxfId="110" priority="94">
      <formula>AND(M32&lt;&gt;"",OR($D$32="",$E$32=""))</formula>
    </cfRule>
  </conditionalFormatting>
  <conditionalFormatting sqref="M33">
    <cfRule type="expression" dxfId="109" priority="93">
      <formula>AND(M33&lt;&gt;"",OR($D$33="",$E$33=""))</formula>
    </cfRule>
  </conditionalFormatting>
  <conditionalFormatting sqref="M34">
    <cfRule type="expression" dxfId="108" priority="92">
      <formula>AND(M34&lt;&gt;"",OR($D$34="",$E$34=""))</formula>
    </cfRule>
  </conditionalFormatting>
  <conditionalFormatting sqref="M35">
    <cfRule type="expression" dxfId="107" priority="91">
      <formula>AND(M35&lt;&gt;"",OR($D$35="",$E$35=""))</formula>
    </cfRule>
  </conditionalFormatting>
  <conditionalFormatting sqref="M47">
    <cfRule type="expression" dxfId="106" priority="90">
      <formula>AND(M47&lt;&gt;"",OR($D$47="",$E$47=""))</formula>
    </cfRule>
  </conditionalFormatting>
  <conditionalFormatting sqref="M48">
    <cfRule type="expression" dxfId="105" priority="89">
      <formula>AND(M48&lt;&gt;"",OR($D$48="",$E$48=""))</formula>
    </cfRule>
  </conditionalFormatting>
  <conditionalFormatting sqref="M49">
    <cfRule type="expression" dxfId="104" priority="88">
      <formula>AND(M49&lt;&gt;"",OR($D$49="",$E$49=""))</formula>
    </cfRule>
  </conditionalFormatting>
  <conditionalFormatting sqref="M50">
    <cfRule type="expression" dxfId="103" priority="87">
      <formula>AND(M50&lt;&gt;"",OR($D$50="",$E$50=""))</formula>
    </cfRule>
  </conditionalFormatting>
  <conditionalFormatting sqref="M51">
    <cfRule type="expression" dxfId="102" priority="86">
      <formula>AND(M51&lt;&gt;"",OR($D$51="",$E$51=""))</formula>
    </cfRule>
  </conditionalFormatting>
  <conditionalFormatting sqref="M52">
    <cfRule type="expression" dxfId="101" priority="85">
      <formula>AND(M52&lt;&gt;"",OR($D$52="",$E$52=""))</formula>
    </cfRule>
  </conditionalFormatting>
  <conditionalFormatting sqref="M53">
    <cfRule type="expression" dxfId="100" priority="84">
      <formula>AND(M53&lt;&gt;"",OR($D$53="",$E$53=""))</formula>
    </cfRule>
  </conditionalFormatting>
  <conditionalFormatting sqref="M54">
    <cfRule type="expression" dxfId="99" priority="83">
      <formula>AND(M54&lt;&gt;"",OR($D$54="",$E$54=""))</formula>
    </cfRule>
  </conditionalFormatting>
  <conditionalFormatting sqref="M55">
    <cfRule type="expression" dxfId="98" priority="82">
      <formula>AND(M55&lt;&gt;"",OR($D$55="",$E$55=""))</formula>
    </cfRule>
  </conditionalFormatting>
  <conditionalFormatting sqref="M56">
    <cfRule type="expression" dxfId="97" priority="81">
      <formula>AND(M56&lt;&gt;"",OR($D$56="",$E$56=""))</formula>
    </cfRule>
  </conditionalFormatting>
  <conditionalFormatting sqref="F26">
    <cfRule type="expression" dxfId="96" priority="80">
      <formula>AND(F26&lt;&gt;"",OR($D$26="",$E$26=""))</formula>
    </cfRule>
  </conditionalFormatting>
  <conditionalFormatting sqref="F47">
    <cfRule type="expression" dxfId="95" priority="79">
      <formula>AND(F47&lt;&gt;"",OR($D$47="",$E$47=""))</formula>
    </cfRule>
  </conditionalFormatting>
  <conditionalFormatting sqref="G47">
    <cfRule type="expression" dxfId="94" priority="78">
      <formula>AND(G47&lt;&gt;"",OR($D$47="",$E$47=""))</formula>
    </cfRule>
  </conditionalFormatting>
  <conditionalFormatting sqref="G48">
    <cfRule type="expression" dxfId="93" priority="77">
      <formula>AND(G48&lt;&gt;"",OR($D$48="",$E$48=""))</formula>
    </cfRule>
  </conditionalFormatting>
  <conditionalFormatting sqref="G49">
    <cfRule type="expression" dxfId="92" priority="76">
      <formula>AND(G49&lt;&gt;"",OR($D$49="",$E$49=""))</formula>
    </cfRule>
  </conditionalFormatting>
  <conditionalFormatting sqref="G50">
    <cfRule type="expression" dxfId="91" priority="75">
      <formula>AND(G50&lt;&gt;"",OR($D50="",$E$50=""))</formula>
    </cfRule>
  </conditionalFormatting>
  <conditionalFormatting sqref="G51">
    <cfRule type="expression" dxfId="90" priority="74">
      <formula>AND(G51&lt;&gt;"",OR($D51="",$E$51=""))</formula>
    </cfRule>
  </conditionalFormatting>
  <conditionalFormatting sqref="G52">
    <cfRule type="expression" dxfId="89" priority="73">
      <formula>AND(G52&lt;&gt;"",OR($D52="",$E$52=""))</formula>
    </cfRule>
  </conditionalFormatting>
  <conditionalFormatting sqref="G53">
    <cfRule type="expression" dxfId="88" priority="72">
      <formula>AND(G53&lt;&gt;"",OR($D53="",$E$53=""))</formula>
    </cfRule>
  </conditionalFormatting>
  <conditionalFormatting sqref="G54">
    <cfRule type="expression" dxfId="87" priority="71">
      <formula>AND(G54&lt;&gt;"",OR($D54="",$E$54=""))</formula>
    </cfRule>
  </conditionalFormatting>
  <conditionalFormatting sqref="G55">
    <cfRule type="expression" dxfId="86" priority="70">
      <formula>AND(G55&lt;&gt;"",OR($D55="",$E$55=""))</formula>
    </cfRule>
  </conditionalFormatting>
  <conditionalFormatting sqref="G56">
    <cfRule type="expression" dxfId="85" priority="69">
      <formula>AND(G56&lt;&gt;"",OR($D56="",$E$56=""))</formula>
    </cfRule>
  </conditionalFormatting>
  <conditionalFormatting sqref="G26">
    <cfRule type="expression" dxfId="84" priority="68">
      <formula>AND(G26&lt;&gt;"",OR($D26="",$E$26=""))</formula>
    </cfRule>
  </conditionalFormatting>
  <conditionalFormatting sqref="G27">
    <cfRule type="expression" dxfId="83" priority="67">
      <formula>AND(G27&lt;&gt;"",OR($D27="",$E$27=""))</formula>
    </cfRule>
  </conditionalFormatting>
  <conditionalFormatting sqref="G28">
    <cfRule type="expression" dxfId="82" priority="66">
      <formula>AND(G28&lt;&gt;"",OR($D28="",$E$28=""))</formula>
    </cfRule>
  </conditionalFormatting>
  <conditionalFormatting sqref="G29">
    <cfRule type="expression" dxfId="81" priority="65">
      <formula>AND(G29&lt;&gt;"",OR($D29="",$E$29=""))</formula>
    </cfRule>
  </conditionalFormatting>
  <conditionalFormatting sqref="G30">
    <cfRule type="expression" dxfId="80" priority="64">
      <formula>AND(G30&lt;&gt;"",OR($D30="",$E$30=""))</formula>
    </cfRule>
  </conditionalFormatting>
  <conditionalFormatting sqref="G31">
    <cfRule type="expression" dxfId="79" priority="63">
      <formula>AND(G31&lt;&gt;"",OR($D31="",$E$31=""))</formula>
    </cfRule>
  </conditionalFormatting>
  <conditionalFormatting sqref="G32">
    <cfRule type="expression" dxfId="78" priority="62">
      <formula>AND(G32&lt;&gt;"",OR($D32="",$E$32=""))</formula>
    </cfRule>
  </conditionalFormatting>
  <conditionalFormatting sqref="G33">
    <cfRule type="expression" dxfId="77" priority="61">
      <formula>AND(G33&lt;&gt;"",OR($D33="",$E$33=""))</formula>
    </cfRule>
  </conditionalFormatting>
  <conditionalFormatting sqref="G34">
    <cfRule type="expression" dxfId="76" priority="60">
      <formula>AND(G34&lt;&gt;"",OR($D34="",$E$34=""))</formula>
    </cfRule>
  </conditionalFormatting>
  <conditionalFormatting sqref="G35">
    <cfRule type="expression" dxfId="75" priority="59">
      <formula>AND(G35&lt;&gt;"",OR($D35="",$E$35=""))</formula>
    </cfRule>
  </conditionalFormatting>
  <conditionalFormatting sqref="H35">
    <cfRule type="expression" dxfId="74" priority="58">
      <formula>AND(H35&lt;&gt;"",OR($D35="",$E$35=""))</formula>
    </cfRule>
  </conditionalFormatting>
  <conditionalFormatting sqref="H34">
    <cfRule type="expression" dxfId="73" priority="57">
      <formula>AND(H34&lt;&gt;"",OR($D34="",$E$34=""))</formula>
    </cfRule>
  </conditionalFormatting>
  <conditionalFormatting sqref="H33">
    <cfRule type="expression" dxfId="72" priority="56">
      <formula>AND(H33&lt;&gt;"",OR($D33="",$E$33=""))</formula>
    </cfRule>
  </conditionalFormatting>
  <conditionalFormatting sqref="H32">
    <cfRule type="expression" dxfId="71" priority="55">
      <formula>AND(H32&lt;&gt;"",OR($D32="",$E$32=""))</formula>
    </cfRule>
  </conditionalFormatting>
  <conditionalFormatting sqref="H31">
    <cfRule type="expression" dxfId="70" priority="54">
      <formula>AND(H31&lt;&gt;"",OR($D31="",$E$31=""))</formula>
    </cfRule>
  </conditionalFormatting>
  <conditionalFormatting sqref="H30">
    <cfRule type="expression" dxfId="69" priority="53">
      <formula>AND(H30&lt;&gt;"",OR($D30="",$E$30=""))</formula>
    </cfRule>
  </conditionalFormatting>
  <conditionalFormatting sqref="H29">
    <cfRule type="expression" dxfId="68" priority="52">
      <formula>AND(H29&lt;&gt;"",OR($D29="",$E$29=""))</formula>
    </cfRule>
  </conditionalFormatting>
  <conditionalFormatting sqref="H28">
    <cfRule type="expression" dxfId="67" priority="51">
      <formula>AND(H28&lt;&gt;"",OR($D28="",$E$28=""))</formula>
    </cfRule>
  </conditionalFormatting>
  <conditionalFormatting sqref="H27">
    <cfRule type="expression" dxfId="66" priority="50">
      <formula>AND(H27&lt;&gt;"",OR($D27="",$E$27=""))</formula>
    </cfRule>
  </conditionalFormatting>
  <conditionalFormatting sqref="H26">
    <cfRule type="expression" dxfId="65" priority="49">
      <formula>AND(H26&lt;&gt;"",OR($D26="",$E$26=""))</formula>
    </cfRule>
  </conditionalFormatting>
  <conditionalFormatting sqref="H47">
    <cfRule type="expression" dxfId="64" priority="48">
      <formula>AND(H47&lt;&gt;"",OR($D47="",$E$47=""))</formula>
    </cfRule>
  </conditionalFormatting>
  <conditionalFormatting sqref="H48">
    <cfRule type="expression" dxfId="63" priority="47">
      <formula>AND(H48&lt;&gt;"",OR($D48="",$E$48=""))</formula>
    </cfRule>
  </conditionalFormatting>
  <conditionalFormatting sqref="H49">
    <cfRule type="expression" dxfId="62" priority="46">
      <formula>AND(H49&lt;&gt;"",OR($D49="",$E$49=""))</formula>
    </cfRule>
  </conditionalFormatting>
  <conditionalFormatting sqref="H50">
    <cfRule type="expression" dxfId="61" priority="45">
      <formula>AND(H50&lt;&gt;"",OR($D50="",$E$50=""))</formula>
    </cfRule>
  </conditionalFormatting>
  <conditionalFormatting sqref="H51">
    <cfRule type="expression" dxfId="60" priority="44">
      <formula>AND(H51&lt;&gt;"",OR($D51="",$E$51=""))</formula>
    </cfRule>
  </conditionalFormatting>
  <conditionalFormatting sqref="H52">
    <cfRule type="expression" dxfId="59" priority="43">
      <formula>AND(H52&lt;&gt;"",OR($D52="",$E$52=""))</formula>
    </cfRule>
  </conditionalFormatting>
  <conditionalFormatting sqref="H53">
    <cfRule type="expression" dxfId="58" priority="42">
      <formula>AND(H53&lt;&gt;"",OR($D53="",$E$53=""))</formula>
    </cfRule>
  </conditionalFormatting>
  <conditionalFormatting sqref="H54">
    <cfRule type="expression" dxfId="57" priority="41">
      <formula>AND(H54&lt;&gt;"",OR($D54="",$E$54=""))</formula>
    </cfRule>
  </conditionalFormatting>
  <conditionalFormatting sqref="H55">
    <cfRule type="expression" dxfId="56" priority="40">
      <formula>AND(H55&lt;&gt;"",OR($D55="",$E$55=""))</formula>
    </cfRule>
  </conditionalFormatting>
  <conditionalFormatting sqref="H56">
    <cfRule type="expression" dxfId="55" priority="39">
      <formula>AND(H56&lt;&gt;"",OR($D56="",$E$56=""))</formula>
    </cfRule>
  </conditionalFormatting>
  <conditionalFormatting sqref="AD26">
    <cfRule type="cellIs" dxfId="54" priority="38" operator="equal">
      <formula>MIN($AD$26:$AD$35,$AD$47:$AD$56)</formula>
    </cfRule>
  </conditionalFormatting>
  <conditionalFormatting sqref="AD27">
    <cfRule type="cellIs" dxfId="53" priority="37" operator="equal">
      <formula>MIN($AD$26:$AD$35,$AD$47:$AD$56)</formula>
    </cfRule>
  </conditionalFormatting>
  <conditionalFormatting sqref="AD28">
    <cfRule type="cellIs" dxfId="52" priority="36" operator="equal">
      <formula>MIN($AD$26:$AD$35,$AD$47:$AD$56)</formula>
    </cfRule>
  </conditionalFormatting>
  <conditionalFormatting sqref="AD29">
    <cfRule type="cellIs" dxfId="51" priority="35" operator="equal">
      <formula>MIN($AD$26:$AD$35,$AD$47:$AD$56)</formula>
    </cfRule>
  </conditionalFormatting>
  <conditionalFormatting sqref="AD30">
    <cfRule type="cellIs" dxfId="50" priority="34" operator="equal">
      <formula>MIN($AD$26:$AD$35,$AD$47:$AD$56)</formula>
    </cfRule>
  </conditionalFormatting>
  <conditionalFormatting sqref="AD31">
    <cfRule type="cellIs" dxfId="49" priority="33" operator="equal">
      <formula>MIN($AD$26:$AD$35,$AD$47:$AD$56)</formula>
    </cfRule>
  </conditionalFormatting>
  <conditionalFormatting sqref="AD32">
    <cfRule type="cellIs" dxfId="48" priority="32" operator="equal">
      <formula>MIN($AD$26:$AD$35,$AD$47:$AD$56)</formula>
    </cfRule>
  </conditionalFormatting>
  <conditionalFormatting sqref="AD33">
    <cfRule type="cellIs" dxfId="47" priority="31" operator="equal">
      <formula>MIN($AD$26:$AD$35,$AD$47:$AD$56)</formula>
    </cfRule>
  </conditionalFormatting>
  <conditionalFormatting sqref="AD34">
    <cfRule type="cellIs" dxfId="46" priority="30" operator="equal">
      <formula>MIN($AD$26:$AD$35,$AD$47:$AD$56)</formula>
    </cfRule>
  </conditionalFormatting>
  <conditionalFormatting sqref="AD35">
    <cfRule type="cellIs" dxfId="45" priority="29" operator="equal">
      <formula>MIN($AD$26:$AD$35,$AD$47:$AD$56)</formula>
    </cfRule>
  </conditionalFormatting>
  <conditionalFormatting sqref="AD47">
    <cfRule type="cellIs" dxfId="44" priority="28" operator="equal">
      <formula>MIN($AD$26:$AD$35,$AD$47:$AD$56)</formula>
    </cfRule>
  </conditionalFormatting>
  <conditionalFormatting sqref="AD48">
    <cfRule type="cellIs" dxfId="43" priority="27" operator="equal">
      <formula>MIN($AD$26:$AD$35,$AD$47:$AD$56)</formula>
    </cfRule>
  </conditionalFormatting>
  <conditionalFormatting sqref="AD49">
    <cfRule type="cellIs" dxfId="42" priority="26" operator="equal">
      <formula>MIN($AD$26:$AD$35,$AD$47:$AD$56)</formula>
    </cfRule>
  </conditionalFormatting>
  <conditionalFormatting sqref="AD50">
    <cfRule type="cellIs" dxfId="41" priority="25" operator="equal">
      <formula>MIN($AD$26:$AD$35,$AD$47:$AD$56)</formula>
    </cfRule>
  </conditionalFormatting>
  <conditionalFormatting sqref="AD51">
    <cfRule type="cellIs" dxfId="40" priority="24" operator="equal">
      <formula>MIN($AD$26:$AD$35,$AD$47:$AD$56)</formula>
    </cfRule>
  </conditionalFormatting>
  <conditionalFormatting sqref="AD52">
    <cfRule type="cellIs" dxfId="39" priority="23" operator="equal">
      <formula>MIN($AD$26:$AD$35,$AD$47:$AD$56)</formula>
    </cfRule>
  </conditionalFormatting>
  <conditionalFormatting sqref="AD53">
    <cfRule type="cellIs" dxfId="38" priority="22" operator="equal">
      <formula>MIN($AD$26:$AD$35,$AD$47:$AD$56)</formula>
    </cfRule>
  </conditionalFormatting>
  <conditionalFormatting sqref="AD54">
    <cfRule type="cellIs" dxfId="37" priority="21" operator="equal">
      <formula>MIN($AD$26:$AD$35,$AD$47:$AD$56)</formula>
    </cfRule>
  </conditionalFormatting>
  <conditionalFormatting sqref="AD55">
    <cfRule type="cellIs" dxfId="36" priority="20" operator="equal">
      <formula>MIN($AD$26:$AD$35,$AD$47:$AD$56)</formula>
    </cfRule>
  </conditionalFormatting>
  <conditionalFormatting sqref="AD56">
    <cfRule type="cellIs" dxfId="35" priority="19" operator="equal">
      <formula>MIN($AD$26:$AD$35,$AD$47:$AD$56)</formula>
    </cfRule>
  </conditionalFormatting>
  <conditionalFormatting sqref="M26:M35">
    <cfRule type="cellIs" dxfId="34" priority="18" operator="lessThan">
      <formula>0</formula>
    </cfRule>
  </conditionalFormatting>
  <conditionalFormatting sqref="M47:M56">
    <cfRule type="cellIs" dxfId="33" priority="17" operator="lessThan">
      <formula>0</formula>
    </cfRule>
  </conditionalFormatting>
  <conditionalFormatting sqref="O26:O35">
    <cfRule type="cellIs" dxfId="32" priority="16" operator="lessThan">
      <formula>0</formula>
    </cfRule>
  </conditionalFormatting>
  <conditionalFormatting sqref="T26:T35">
    <cfRule type="cellIs" dxfId="31" priority="15" operator="lessThan">
      <formula>0</formula>
    </cfRule>
  </conditionalFormatting>
  <conditionalFormatting sqref="T47:T56">
    <cfRule type="cellIs" dxfId="30" priority="14" operator="lessThan">
      <formula>0</formula>
    </cfRule>
  </conditionalFormatting>
  <conditionalFormatting sqref="O47:O56">
    <cfRule type="cellIs" dxfId="29" priority="13" operator="lessThan">
      <formula>0</formula>
    </cfRule>
  </conditionalFormatting>
  <conditionalFormatting sqref="G23:H24 M23:AH25 AL22:AM25 C22:F25 I22:T22 AB22:AH22">
    <cfRule type="expression" dxfId="28" priority="148">
      <formula>AND(CELL("col")=COLUMN(),CELL("lin")&gt;=26,CELL("lin")&lt;=35)</formula>
    </cfRule>
  </conditionalFormatting>
  <conditionalFormatting sqref="AI24">
    <cfRule type="expression" dxfId="27" priority="12">
      <formula>AND(CELL("col")=(COLUMN()-1),CELL("lin")&gt;=26,CELL("lin")&lt;=35)</formula>
    </cfRule>
    <cfRule type="expression" dxfId="26" priority="11">
      <formula>AND(CELL("col")=(COLUMN()-1),CELL("lin")&gt;=47,CELL("lin")&lt;=56)</formula>
    </cfRule>
  </conditionalFormatting>
  <conditionalFormatting sqref="AN24">
    <cfRule type="expression" dxfId="25" priority="10">
      <formula>AND(CELL("col")=(COLUMN()-1),CELL("lin")&gt;=47,CELL("lin")&lt;=56)</formula>
    </cfRule>
    <cfRule type="expression" dxfId="24" priority="9">
      <formula>AND(CELL("col")=(COLUMN()-1),CELL("lin")&gt;=26,CELL("lin")&lt;=35)</formula>
    </cfRule>
  </conditionalFormatting>
  <conditionalFormatting sqref="G23:H24 M23:AH25 AL22:AM25 C22:F25 I22:T22 AB22:AH22">
    <cfRule type="expression" dxfId="23" priority="147">
      <formula>AND(CELL("col")=COLUMN(),CELL("lin")&gt;=47,CELL("lin")&lt;=56)</formula>
    </cfRule>
  </conditionalFormatting>
  <conditionalFormatting sqref="G25">
    <cfRule type="expression" dxfId="22" priority="8">
      <formula>AND(CELL("col")=COLUMN(),CELL("lin")&gt;=26,CELL("lin")&lt;=35)</formula>
    </cfRule>
    <cfRule type="expression" dxfId="21" priority="7">
      <formula>AND(CELL("col")=COLUMN(),CELL("lin")&gt;=47,CELL("lin")&lt;=56)</formula>
    </cfRule>
    <cfRule type="expression" dxfId="20" priority="2">
      <formula>AND(CELL("col")=(COLUMN()+1),CELL("lin")&gt;=26,CELL("lin")&lt;=35)</formula>
    </cfRule>
    <cfRule type="expression" dxfId="19" priority="1">
      <formula>AND(CELL("col")=(COLUMN()+1),CELL("lin")&gt;=47,CELL("lin")&lt;=56)</formula>
    </cfRule>
  </conditionalFormatting>
  <conditionalFormatting sqref="H25">
    <cfRule type="expression" dxfId="18" priority="6">
      <formula>AND(CELL("col")=(COLUMN()-1),CELL("lin")&gt;=26,CELL("lin")&lt;=35)</formula>
    </cfRule>
    <cfRule type="expression" dxfId="17" priority="5">
      <formula>AND(CELL("col")=(COLUMN()-1),CELL("lin")&gt;=47,CELL("lin")&lt;=56)</formula>
    </cfRule>
    <cfRule type="expression" dxfId="16" priority="4">
      <formula>AND(CELL("col")=COLUMN(),CELL("lin")&gt;=26,CELL("lin")&lt;=35)</formula>
    </cfRule>
    <cfRule type="expression" dxfId="15" priority="3">
      <formula>AND(CELL("col")=COLUMN(),CELL("lin")&gt;=47,CELL("lin")&lt;=56)</formula>
    </cfRule>
  </conditionalFormatting>
  <pageMargins left="0.59055118110236227" right="0.55118110236220474" top="0.27559055118110237" bottom="0.27559055118110237" header="0" footer="0.19685039370078741"/>
  <pageSetup paperSize="9" scale="55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5">
    <tabColor indexed="53"/>
  </sheetPr>
  <dimension ref="B1:O87"/>
  <sheetViews>
    <sheetView showGridLines="0" showRowColHeaders="0" zoomScale="110" zoomScaleNormal="110" workbookViewId="0">
      <selection activeCell="R60" sqref="R60"/>
    </sheetView>
  </sheetViews>
  <sheetFormatPr defaultRowHeight="12.45" x14ac:dyDescent="0.3"/>
  <cols>
    <col min="1" max="1" width="2" customWidth="1"/>
    <col min="2" max="2" width="1.15234375" customWidth="1"/>
    <col min="3" max="3" width="3.3828125" customWidth="1"/>
    <col min="4" max="4" width="8.15234375" customWidth="1"/>
    <col min="5" max="5" width="13.84375" customWidth="1"/>
    <col min="6" max="6" width="13.69140625" customWidth="1"/>
    <col min="7" max="7" width="10.3046875" customWidth="1"/>
    <col min="8" max="8" width="13.84375" customWidth="1"/>
    <col min="9" max="9" width="15.15234375" customWidth="1"/>
    <col min="10" max="10" width="4.3046875" customWidth="1"/>
    <col min="11" max="11" width="13" customWidth="1"/>
    <col min="12" max="12" width="9.3828125" customWidth="1"/>
    <col min="13" max="13" width="8.3046875" customWidth="1"/>
    <col min="14" max="14" width="8.69140625" customWidth="1"/>
    <col min="15" max="15" width="7.53515625" customWidth="1"/>
    <col min="16" max="16" width="1.3828125" customWidth="1"/>
    <col min="17" max="17" width="2" customWidth="1"/>
  </cols>
  <sheetData>
    <row r="1" spans="2:12" ht="4.5" customHeight="1" thickBot="1" x14ac:dyDescent="0.35"/>
    <row r="2" spans="2:12" ht="19.5" customHeight="1" thickTop="1" x14ac:dyDescent="0.5">
      <c r="B2" s="407"/>
      <c r="D2" s="409"/>
    </row>
    <row r="3" spans="2:12" ht="24.75" customHeight="1" x14ac:dyDescent="0.5">
      <c r="B3" s="408"/>
      <c r="D3" s="1073"/>
      <c r="E3" s="1074"/>
      <c r="F3" s="1074"/>
      <c r="G3" s="1074"/>
      <c r="H3" s="1074"/>
      <c r="I3" s="1074"/>
      <c r="J3" s="1074"/>
      <c r="K3" s="1074"/>
      <c r="L3" s="1074"/>
    </row>
    <row r="4" spans="2:12" x14ac:dyDescent="0.3">
      <c r="B4" s="408"/>
    </row>
    <row r="5" spans="2:12" x14ac:dyDescent="0.3">
      <c r="B5" s="408"/>
    </row>
    <row r="6" spans="2:12" x14ac:dyDescent="0.3">
      <c r="B6" s="408"/>
    </row>
    <row r="7" spans="2:12" x14ac:dyDescent="0.3">
      <c r="B7" s="408"/>
    </row>
    <row r="8" spans="2:12" ht="14.25" customHeight="1" x14ac:dyDescent="0.3">
      <c r="B8" s="408"/>
    </row>
    <row r="9" spans="2:12" ht="16.5" customHeight="1" x14ac:dyDescent="0.3">
      <c r="B9" s="408"/>
      <c r="C9" s="410">
        <v>1</v>
      </c>
      <c r="D9" s="1230" t="s">
        <v>207</v>
      </c>
      <c r="E9" s="1136"/>
      <c r="F9" s="1136"/>
      <c r="G9" s="176">
        <v>10.5</v>
      </c>
      <c r="H9" s="174"/>
      <c r="I9" s="174"/>
    </row>
    <row r="10" spans="2:12" ht="16.5" customHeight="1" x14ac:dyDescent="0.3">
      <c r="B10" s="408"/>
      <c r="C10" s="410">
        <v>2</v>
      </c>
      <c r="D10" s="1230" t="s">
        <v>208</v>
      </c>
      <c r="E10" s="1136"/>
      <c r="F10" s="1136"/>
      <c r="G10" s="176">
        <v>6</v>
      </c>
      <c r="H10" s="174"/>
      <c r="I10" s="174"/>
    </row>
    <row r="11" spans="2:12" ht="16.5" customHeight="1" x14ac:dyDescent="0.3">
      <c r="B11" s="408"/>
      <c r="C11" s="410">
        <v>3</v>
      </c>
      <c r="D11" s="1230" t="s">
        <v>209</v>
      </c>
      <c r="E11" s="1136"/>
      <c r="F11" s="1136"/>
      <c r="G11" s="176">
        <v>23</v>
      </c>
      <c r="H11" s="174"/>
      <c r="I11" s="174"/>
    </row>
    <row r="12" spans="2:12" ht="16.5" customHeight="1" x14ac:dyDescent="0.3">
      <c r="B12" s="408"/>
      <c r="C12" s="410">
        <v>4</v>
      </c>
      <c r="D12" s="1230" t="s">
        <v>210</v>
      </c>
      <c r="E12" s="1136"/>
      <c r="F12" s="1136"/>
      <c r="G12" s="176">
        <v>29</v>
      </c>
      <c r="H12" s="174"/>
      <c r="I12" s="174"/>
    </row>
    <row r="13" spans="2:12" ht="16.5" customHeight="1" x14ac:dyDescent="0.3">
      <c r="B13" s="408"/>
      <c r="C13" s="410">
        <v>5</v>
      </c>
      <c r="D13" s="1230" t="s">
        <v>211</v>
      </c>
      <c r="E13" s="1136"/>
      <c r="F13" s="1136"/>
      <c r="G13" s="176">
        <v>29</v>
      </c>
      <c r="H13" s="174"/>
      <c r="I13" s="174"/>
    </row>
    <row r="14" spans="2:12" ht="16.5" customHeight="1" x14ac:dyDescent="0.3">
      <c r="B14" s="408"/>
      <c r="C14" s="410">
        <v>6</v>
      </c>
      <c r="D14" s="1230" t="s">
        <v>212</v>
      </c>
      <c r="E14" s="1136"/>
      <c r="F14" s="1136"/>
      <c r="G14" s="176">
        <v>35</v>
      </c>
      <c r="H14" s="174"/>
      <c r="I14" s="174"/>
    </row>
    <row r="15" spans="2:12" ht="16.5" customHeight="1" x14ac:dyDescent="0.3">
      <c r="B15" s="408"/>
      <c r="C15" s="410">
        <v>7</v>
      </c>
      <c r="D15" s="1230" t="s">
        <v>28</v>
      </c>
      <c r="E15" s="1136"/>
      <c r="F15" s="1136"/>
      <c r="G15" s="176">
        <v>6</v>
      </c>
      <c r="H15" s="174"/>
      <c r="I15" s="174"/>
    </row>
    <row r="16" spans="2:12" ht="16.5" customHeight="1" x14ac:dyDescent="0.3">
      <c r="B16" s="408"/>
      <c r="C16" s="410">
        <v>8</v>
      </c>
      <c r="D16" s="1230" t="s">
        <v>29</v>
      </c>
      <c r="E16" s="1136"/>
      <c r="F16" s="1136"/>
      <c r="G16" s="176">
        <v>9</v>
      </c>
      <c r="H16" s="174"/>
      <c r="I16" s="174"/>
    </row>
    <row r="17" spans="2:15" ht="16.5" customHeight="1" x14ac:dyDescent="0.3">
      <c r="B17" s="408"/>
      <c r="C17" s="410">
        <v>9</v>
      </c>
      <c r="D17" s="1230" t="s">
        <v>213</v>
      </c>
      <c r="E17" s="1136"/>
      <c r="F17" s="1136"/>
      <c r="G17" s="176">
        <v>4</v>
      </c>
      <c r="H17" s="174"/>
      <c r="I17" s="174"/>
    </row>
    <row r="18" spans="2:15" ht="16.5" customHeight="1" thickBot="1" x14ac:dyDescent="0.35">
      <c r="B18" s="408"/>
      <c r="C18" s="410">
        <v>10</v>
      </c>
      <c r="D18" s="1230" t="s">
        <v>214</v>
      </c>
      <c r="E18" s="1136"/>
      <c r="F18" s="1136"/>
      <c r="G18" s="176">
        <v>5</v>
      </c>
      <c r="H18" s="174"/>
      <c r="I18" s="174"/>
    </row>
    <row r="19" spans="2:15" ht="16.2" customHeight="1" thickBot="1" x14ac:dyDescent="0.35">
      <c r="B19" s="408"/>
      <c r="C19" s="410">
        <v>11</v>
      </c>
      <c r="D19" s="1224"/>
      <c r="E19" s="1225"/>
      <c r="F19" s="1226"/>
      <c r="G19" s="1101"/>
      <c r="H19" s="174"/>
      <c r="I19" s="175"/>
    </row>
    <row r="20" spans="2:15" ht="16.2" customHeight="1" thickBot="1" x14ac:dyDescent="0.35">
      <c r="B20" s="408"/>
      <c r="C20" s="410">
        <v>12</v>
      </c>
      <c r="D20" s="1224"/>
      <c r="E20" s="1225"/>
      <c r="F20" s="1226"/>
      <c r="G20" s="1101"/>
      <c r="H20" s="174"/>
      <c r="I20" s="175"/>
    </row>
    <row r="21" spans="2:15" ht="16.2" customHeight="1" thickBot="1" x14ac:dyDescent="0.35">
      <c r="B21" s="408"/>
      <c r="C21" s="410">
        <v>13</v>
      </c>
      <c r="D21" s="1227"/>
      <c r="E21" s="1225"/>
      <c r="F21" s="1226"/>
      <c r="G21" s="1101"/>
      <c r="H21" s="174"/>
      <c r="I21" s="175"/>
    </row>
    <row r="22" spans="2:15" ht="16.2" customHeight="1" thickBot="1" x14ac:dyDescent="0.35">
      <c r="B22" s="408"/>
      <c r="C22" s="410">
        <v>14</v>
      </c>
      <c r="D22" s="1227"/>
      <c r="E22" s="1225"/>
      <c r="F22" s="1226"/>
      <c r="G22" s="1101"/>
      <c r="H22" s="174"/>
      <c r="I22" s="175"/>
    </row>
    <row r="23" spans="2:15" ht="16.2" customHeight="1" thickBot="1" x14ac:dyDescent="0.35">
      <c r="B23" s="408"/>
      <c r="C23" s="410">
        <v>15</v>
      </c>
      <c r="D23" s="1228"/>
      <c r="E23" s="1229"/>
      <c r="F23" s="1229"/>
      <c r="G23" s="1101"/>
      <c r="H23" s="174"/>
      <c r="I23" s="175"/>
    </row>
    <row r="24" spans="2:15" ht="16.2" customHeight="1" thickBot="1" x14ac:dyDescent="0.35">
      <c r="B24" s="408"/>
      <c r="C24" s="410">
        <v>16</v>
      </c>
      <c r="D24" s="1228"/>
      <c r="E24" s="1229"/>
      <c r="F24" s="1229"/>
      <c r="G24" s="1101"/>
      <c r="H24" s="174"/>
      <c r="I24" s="175"/>
    </row>
    <row r="25" spans="2:15" ht="16.2" customHeight="1" thickBot="1" x14ac:dyDescent="0.35">
      <c r="B25" s="408"/>
      <c r="C25" s="410">
        <v>17</v>
      </c>
      <c r="D25" s="1228"/>
      <c r="E25" s="1229"/>
      <c r="F25" s="1229"/>
      <c r="G25" s="1101"/>
      <c r="H25" s="174"/>
      <c r="I25" s="175"/>
    </row>
    <row r="26" spans="2:15" ht="16.2" customHeight="1" thickBot="1" x14ac:dyDescent="0.35">
      <c r="B26" s="408"/>
      <c r="C26" s="410">
        <v>18</v>
      </c>
      <c r="D26" s="1228"/>
      <c r="E26" s="1229"/>
      <c r="F26" s="1229"/>
      <c r="G26" s="1101"/>
      <c r="H26" s="174"/>
      <c r="I26" s="175"/>
    </row>
    <row r="27" spans="2:15" ht="16.5" customHeight="1" thickBot="1" x14ac:dyDescent="0.35">
      <c r="B27" s="408"/>
      <c r="C27" s="410">
        <v>19</v>
      </c>
      <c r="D27" s="1228"/>
      <c r="E27" s="1229"/>
      <c r="F27" s="1229"/>
      <c r="G27" s="1101"/>
      <c r="H27" s="174"/>
      <c r="I27" s="175"/>
    </row>
    <row r="28" spans="2:15" ht="16.5" hidden="1" customHeight="1" thickTop="1" x14ac:dyDescent="0.3">
      <c r="B28" s="408"/>
      <c r="C28" s="177">
        <v>20</v>
      </c>
      <c r="D28" s="1230"/>
      <c r="E28" s="1136"/>
      <c r="F28" s="1136"/>
      <c r="G28" s="173"/>
      <c r="H28" s="173"/>
      <c r="I28" s="173"/>
    </row>
    <row r="29" spans="2:15" ht="7.5" customHeight="1" x14ac:dyDescent="0.3">
      <c r="B29" s="408"/>
    </row>
    <row r="30" spans="2:15" ht="25.5" customHeight="1" thickBot="1" x14ac:dyDescent="0.35">
      <c r="B30" s="408"/>
      <c r="D30" s="1075" t="s">
        <v>282</v>
      </c>
      <c r="E30" s="1074"/>
      <c r="F30" s="1074"/>
      <c r="G30" s="1074"/>
      <c r="H30" s="1074"/>
      <c r="I30" s="1076"/>
      <c r="J30" s="1074"/>
      <c r="K30" s="1074"/>
    </row>
    <row r="31" spans="2:15" ht="3" customHeight="1" thickTop="1" thickBot="1" x14ac:dyDescent="0.35">
      <c r="B31" s="408"/>
      <c r="D31" s="171"/>
      <c r="E31" s="172"/>
      <c r="F31" s="172"/>
      <c r="G31" s="171"/>
      <c r="H31" s="172"/>
      <c r="I31" s="171"/>
    </row>
    <row r="32" spans="2:15" ht="28.5" customHeight="1" thickTop="1" x14ac:dyDescent="0.3">
      <c r="B32" s="408"/>
      <c r="D32" s="1104" t="s">
        <v>30</v>
      </c>
      <c r="E32" s="1222" t="s">
        <v>31</v>
      </c>
      <c r="F32" s="1222"/>
      <c r="G32" s="1105" t="s">
        <v>30</v>
      </c>
      <c r="H32" s="1222" t="s">
        <v>31</v>
      </c>
      <c r="I32" s="1223"/>
      <c r="K32" s="1064" t="s">
        <v>487</v>
      </c>
      <c r="L32" s="1067" t="s">
        <v>140</v>
      </c>
      <c r="M32" s="1067" t="s">
        <v>112</v>
      </c>
      <c r="N32" s="1067" t="s">
        <v>113</v>
      </c>
      <c r="O32" s="1067" t="s">
        <v>355</v>
      </c>
    </row>
    <row r="33" spans="2:15" ht="18" customHeight="1" x14ac:dyDescent="0.3">
      <c r="B33" s="408"/>
      <c r="D33" s="1062" t="s">
        <v>146</v>
      </c>
      <c r="E33" s="1079" t="s">
        <v>35</v>
      </c>
      <c r="F33" s="1078" t="s">
        <v>36</v>
      </c>
      <c r="G33" s="1063" t="s">
        <v>146</v>
      </c>
      <c r="H33" s="1078" t="s">
        <v>35</v>
      </c>
      <c r="I33" s="1077" t="s">
        <v>36</v>
      </c>
      <c r="K33" s="1065"/>
      <c r="L33" s="1068" t="s">
        <v>79</v>
      </c>
      <c r="M33" s="1069" t="s">
        <v>508</v>
      </c>
      <c r="N33" s="1069" t="s">
        <v>509</v>
      </c>
      <c r="O33" s="1070" t="s">
        <v>356</v>
      </c>
    </row>
    <row r="34" spans="2:15" ht="13.5" customHeight="1" thickBot="1" x14ac:dyDescent="0.35">
      <c r="B34" s="408"/>
      <c r="D34" s="1106">
        <v>1</v>
      </c>
      <c r="E34" s="1080">
        <v>1</v>
      </c>
      <c r="F34" s="1080">
        <v>1</v>
      </c>
      <c r="G34" s="1111">
        <v>58</v>
      </c>
      <c r="H34" s="1080">
        <v>0.18099999999999999</v>
      </c>
      <c r="I34" s="1083">
        <v>0.35</v>
      </c>
      <c r="K34" s="1066"/>
      <c r="L34" s="1071" t="s">
        <v>510</v>
      </c>
      <c r="M34" s="1072"/>
      <c r="N34" s="1072"/>
      <c r="O34" s="1071" t="s">
        <v>511</v>
      </c>
    </row>
    <row r="35" spans="2:15" ht="12.75" customHeight="1" thickTop="1" thickBot="1" x14ac:dyDescent="0.35">
      <c r="B35" s="408"/>
      <c r="D35" s="1107">
        <v>2</v>
      </c>
      <c r="E35" s="1081">
        <v>0.6</v>
      </c>
      <c r="F35" s="1081">
        <v>0.7</v>
      </c>
      <c r="G35" s="1112">
        <v>59</v>
      </c>
      <c r="H35" s="1081">
        <v>0.18</v>
      </c>
      <c r="I35" s="1084">
        <v>0.35</v>
      </c>
      <c r="J35" s="410">
        <v>1</v>
      </c>
      <c r="K35" s="1086" t="s">
        <v>351</v>
      </c>
      <c r="L35" s="1087">
        <v>9054</v>
      </c>
      <c r="M35" s="1088">
        <v>0.65</v>
      </c>
      <c r="N35" s="1088">
        <v>0.62</v>
      </c>
      <c r="O35" s="1088">
        <v>0.84</v>
      </c>
    </row>
    <row r="36" spans="2:15" ht="12.75" customHeight="1" thickBot="1" x14ac:dyDescent="0.35">
      <c r="B36" s="408"/>
      <c r="D36" s="1107">
        <v>3</v>
      </c>
      <c r="E36" s="1081">
        <v>0.45</v>
      </c>
      <c r="F36" s="1081">
        <v>0.6</v>
      </c>
      <c r="G36" s="1112">
        <v>60</v>
      </c>
      <c r="H36" s="1081">
        <v>0.17899999999999999</v>
      </c>
      <c r="I36" s="1084">
        <v>0.35</v>
      </c>
      <c r="J36" s="410">
        <v>2</v>
      </c>
      <c r="K36" s="1092" t="s">
        <v>353</v>
      </c>
      <c r="L36" s="1093">
        <v>22254</v>
      </c>
      <c r="M36" s="1094">
        <v>1.55</v>
      </c>
      <c r="N36" s="1094">
        <v>1.1599999999999999</v>
      </c>
      <c r="O36" s="1094">
        <v>2.0099999999999998</v>
      </c>
    </row>
    <row r="37" spans="2:15" ht="12.75" customHeight="1" thickBot="1" x14ac:dyDescent="0.35">
      <c r="B37" s="408"/>
      <c r="D37" s="1108" t="s">
        <v>32</v>
      </c>
      <c r="E37" s="1081">
        <v>0.4</v>
      </c>
      <c r="F37" s="1081">
        <v>0.55000000000000004</v>
      </c>
      <c r="G37" s="1112">
        <v>61</v>
      </c>
      <c r="H37" s="1081">
        <v>0.17799999999999999</v>
      </c>
      <c r="I37" s="1084">
        <v>0.35</v>
      </c>
      <c r="J37" s="410">
        <v>3</v>
      </c>
      <c r="K37" s="1095" t="s">
        <v>354</v>
      </c>
      <c r="L37" s="1096">
        <v>3740</v>
      </c>
      <c r="M37" s="1097">
        <v>0.55000000000000004</v>
      </c>
      <c r="N37" s="1097">
        <v>0.55000000000000004</v>
      </c>
      <c r="O37" s="1097">
        <v>0.65</v>
      </c>
    </row>
    <row r="38" spans="2:15" ht="12.75" customHeight="1" thickBot="1" x14ac:dyDescent="0.35">
      <c r="B38" s="408"/>
      <c r="D38" s="1107">
        <v>6</v>
      </c>
      <c r="E38" s="1081">
        <v>0.35</v>
      </c>
      <c r="F38" s="1081">
        <v>0.5</v>
      </c>
      <c r="G38" s="1112">
        <v>62</v>
      </c>
      <c r="H38" s="1081">
        <v>0.17699999999999999</v>
      </c>
      <c r="I38" s="1084">
        <v>0.35</v>
      </c>
      <c r="J38" s="410">
        <v>4</v>
      </c>
      <c r="K38" s="1098"/>
      <c r="L38" s="1099"/>
      <c r="M38" s="1100"/>
      <c r="N38" s="1100"/>
      <c r="O38" s="1100"/>
    </row>
    <row r="39" spans="2:15" ht="12.75" customHeight="1" thickBot="1" x14ac:dyDescent="0.35">
      <c r="B39" s="408"/>
      <c r="D39" s="1107">
        <v>7</v>
      </c>
      <c r="E39" s="1081">
        <v>0.32</v>
      </c>
      <c r="F39" s="1081">
        <v>0.48</v>
      </c>
      <c r="G39" s="1112">
        <v>63</v>
      </c>
      <c r="H39" s="1081">
        <v>0.17599999999999999</v>
      </c>
      <c r="I39" s="1084">
        <v>0.35</v>
      </c>
      <c r="J39" s="410">
        <v>5</v>
      </c>
      <c r="K39" s="1098"/>
      <c r="L39" s="1099"/>
      <c r="M39" s="1100"/>
      <c r="N39" s="1100"/>
      <c r="O39" s="1100"/>
    </row>
    <row r="40" spans="2:15" ht="12.75" customHeight="1" thickBot="1" x14ac:dyDescent="0.35">
      <c r="B40" s="408"/>
      <c r="D40" s="1107">
        <v>8</v>
      </c>
      <c r="E40" s="1081">
        <v>0.3</v>
      </c>
      <c r="F40" s="1081">
        <v>0.45</v>
      </c>
      <c r="G40" s="1112">
        <v>64</v>
      </c>
      <c r="H40" s="1081">
        <v>0.17499999999999999</v>
      </c>
      <c r="I40" s="1084">
        <v>0.35</v>
      </c>
      <c r="J40" s="410">
        <v>6</v>
      </c>
      <c r="K40" s="1089"/>
      <c r="L40" s="1090"/>
      <c r="M40" s="1091"/>
      <c r="N40" s="1091"/>
      <c r="O40" s="1091"/>
    </row>
    <row r="41" spans="2:15" ht="12.75" customHeight="1" thickBot="1" x14ac:dyDescent="0.35">
      <c r="B41" s="408"/>
      <c r="D41" s="1107">
        <v>9</v>
      </c>
      <c r="E41" s="1081">
        <v>0.27</v>
      </c>
      <c r="F41" s="1081">
        <v>0.45</v>
      </c>
      <c r="G41" s="1112">
        <v>65</v>
      </c>
      <c r="H41" s="1081">
        <v>0.17399999999999999</v>
      </c>
      <c r="I41" s="1084">
        <v>0.35</v>
      </c>
    </row>
    <row r="42" spans="2:15" ht="12.75" customHeight="1" thickBot="1" x14ac:dyDescent="0.35">
      <c r="B42" s="408"/>
      <c r="D42" s="1109" t="s">
        <v>33</v>
      </c>
      <c r="E42" s="1081">
        <v>0.25</v>
      </c>
      <c r="F42" s="1081">
        <v>0.45</v>
      </c>
      <c r="G42" s="1112">
        <v>66</v>
      </c>
      <c r="H42" s="1081">
        <v>0.17299999999999999</v>
      </c>
      <c r="I42" s="1084">
        <v>0.35</v>
      </c>
    </row>
    <row r="43" spans="2:15" ht="12.75" customHeight="1" thickBot="1" x14ac:dyDescent="0.35">
      <c r="B43" s="408"/>
      <c r="D43" s="1107">
        <v>15</v>
      </c>
      <c r="E43" s="1081">
        <v>0.24</v>
      </c>
      <c r="F43" s="1081">
        <v>0.43</v>
      </c>
      <c r="G43" s="1112">
        <v>67</v>
      </c>
      <c r="H43" s="1081">
        <v>0.17199999999999999</v>
      </c>
      <c r="I43" s="1084">
        <v>0.35</v>
      </c>
    </row>
    <row r="44" spans="2:15" ht="12.75" customHeight="1" thickBot="1" x14ac:dyDescent="0.35">
      <c r="B44" s="408"/>
      <c r="D44" s="1107">
        <v>16</v>
      </c>
      <c r="E44" s="1081">
        <v>0.23</v>
      </c>
      <c r="F44" s="1081">
        <v>0.43</v>
      </c>
      <c r="G44" s="1112">
        <v>68</v>
      </c>
      <c r="H44" s="1081">
        <v>0.17100000000000001</v>
      </c>
      <c r="I44" s="1084">
        <v>0.35</v>
      </c>
    </row>
    <row r="45" spans="2:15" ht="12.75" customHeight="1" thickBot="1" x14ac:dyDescent="0.35">
      <c r="B45" s="408"/>
      <c r="D45" s="1107">
        <v>17</v>
      </c>
      <c r="E45" s="1081">
        <v>0.22</v>
      </c>
      <c r="F45" s="1081">
        <v>0.42</v>
      </c>
      <c r="G45" s="1112">
        <v>69</v>
      </c>
      <c r="H45" s="1081">
        <v>0.17</v>
      </c>
      <c r="I45" s="1084">
        <v>0.35</v>
      </c>
    </row>
    <row r="46" spans="2:15" ht="12.75" customHeight="1" thickBot="1" x14ac:dyDescent="0.35">
      <c r="B46" s="408"/>
      <c r="D46" s="1107">
        <v>18</v>
      </c>
      <c r="E46" s="1081">
        <v>0.21</v>
      </c>
      <c r="F46" s="1081">
        <v>0.41</v>
      </c>
      <c r="G46" s="1112">
        <v>70</v>
      </c>
      <c r="H46" s="1081">
        <v>0.16900000000000001</v>
      </c>
      <c r="I46" s="1084">
        <v>0.35</v>
      </c>
    </row>
    <row r="47" spans="2:15" ht="12.75" customHeight="1" thickBot="1" x14ac:dyDescent="0.35">
      <c r="B47" s="408"/>
      <c r="D47" s="1109" t="s">
        <v>34</v>
      </c>
      <c r="E47" s="1081">
        <v>0.2</v>
      </c>
      <c r="F47" s="1081">
        <v>0.4</v>
      </c>
      <c r="G47" s="1112">
        <v>71</v>
      </c>
      <c r="H47" s="1081">
        <v>0.16800000000000001</v>
      </c>
      <c r="I47" s="1084">
        <v>0.35</v>
      </c>
    </row>
    <row r="48" spans="2:15" ht="12.75" customHeight="1" thickBot="1" x14ac:dyDescent="0.35">
      <c r="B48" s="408"/>
      <c r="D48" s="1107">
        <v>40</v>
      </c>
      <c r="E48" s="1081">
        <v>0.19900000000000001</v>
      </c>
      <c r="F48" s="1081">
        <v>0.4</v>
      </c>
      <c r="G48" s="1112">
        <v>72</v>
      </c>
      <c r="H48" s="1081">
        <v>0.16700000000000001</v>
      </c>
      <c r="I48" s="1084">
        <v>0.35</v>
      </c>
    </row>
    <row r="49" spans="2:9" ht="12.75" customHeight="1" thickBot="1" x14ac:dyDescent="0.35">
      <c r="B49" s="408"/>
      <c r="D49" s="1107">
        <v>41</v>
      </c>
      <c r="E49" s="1081">
        <v>0.19800000000000001</v>
      </c>
      <c r="F49" s="1081">
        <v>0.39500000000000002</v>
      </c>
      <c r="G49" s="1112">
        <v>73</v>
      </c>
      <c r="H49" s="1081">
        <v>0.16600000000000001</v>
      </c>
      <c r="I49" s="1084">
        <v>0.35</v>
      </c>
    </row>
    <row r="50" spans="2:9" ht="12.75" customHeight="1" thickBot="1" x14ac:dyDescent="0.35">
      <c r="B50" s="408"/>
      <c r="D50" s="1107">
        <v>42</v>
      </c>
      <c r="E50" s="1081">
        <v>0.19700000000000001</v>
      </c>
      <c r="F50" s="1081">
        <v>0.39</v>
      </c>
      <c r="G50" s="1112">
        <v>74</v>
      </c>
      <c r="H50" s="1081">
        <v>0.16500000000000001</v>
      </c>
      <c r="I50" s="1084">
        <v>0.35</v>
      </c>
    </row>
    <row r="51" spans="2:9" ht="12.75" customHeight="1" thickBot="1" x14ac:dyDescent="0.35">
      <c r="B51" s="408"/>
      <c r="D51" s="1107">
        <v>43</v>
      </c>
      <c r="E51" s="1081">
        <v>0.19600000000000001</v>
      </c>
      <c r="F51" s="1081">
        <v>0.38500000000000001</v>
      </c>
      <c r="G51" s="1112">
        <v>75</v>
      </c>
      <c r="H51" s="1081">
        <v>0.16400000000000001</v>
      </c>
      <c r="I51" s="1084">
        <v>0.35</v>
      </c>
    </row>
    <row r="52" spans="2:9" ht="12.75" customHeight="1" thickBot="1" x14ac:dyDescent="0.35">
      <c r="B52" s="408"/>
      <c r="D52" s="1107">
        <v>44</v>
      </c>
      <c r="E52" s="1081">
        <v>0.19500000000000001</v>
      </c>
      <c r="F52" s="1081">
        <v>0.38</v>
      </c>
      <c r="G52" s="1112">
        <v>76</v>
      </c>
      <c r="H52" s="1081">
        <v>0.16300000000000001</v>
      </c>
      <c r="I52" s="1084">
        <v>0.35</v>
      </c>
    </row>
    <row r="53" spans="2:9" ht="12.75" customHeight="1" thickBot="1" x14ac:dyDescent="0.35">
      <c r="B53" s="408"/>
      <c r="D53" s="1107">
        <v>45</v>
      </c>
      <c r="E53" s="1081">
        <v>0.19400000000000001</v>
      </c>
      <c r="F53" s="1081">
        <v>0.375</v>
      </c>
      <c r="G53" s="1112">
        <v>77</v>
      </c>
      <c r="H53" s="1081">
        <v>0.16200000000000001</v>
      </c>
      <c r="I53" s="1084">
        <v>0.35</v>
      </c>
    </row>
    <row r="54" spans="2:9" ht="12.75" customHeight="1" thickBot="1" x14ac:dyDescent="0.35">
      <c r="B54" s="408"/>
      <c r="D54" s="1107">
        <v>46</v>
      </c>
      <c r="E54" s="1081">
        <v>0.193</v>
      </c>
      <c r="F54" s="1081">
        <v>0.37</v>
      </c>
      <c r="G54" s="1112">
        <v>78</v>
      </c>
      <c r="H54" s="1081">
        <v>0.161</v>
      </c>
      <c r="I54" s="1084">
        <v>0.35</v>
      </c>
    </row>
    <row r="55" spans="2:9" ht="12.75" customHeight="1" thickBot="1" x14ac:dyDescent="0.35">
      <c r="B55" s="408"/>
      <c r="D55" s="1107">
        <v>47</v>
      </c>
      <c r="E55" s="1081">
        <v>0.192</v>
      </c>
      <c r="F55" s="1081">
        <v>0.36499999999999999</v>
      </c>
      <c r="G55" s="1112">
        <v>79</v>
      </c>
      <c r="H55" s="1081">
        <v>0.16</v>
      </c>
      <c r="I55" s="1084">
        <v>0.35</v>
      </c>
    </row>
    <row r="56" spans="2:9" ht="12.75" customHeight="1" thickBot="1" x14ac:dyDescent="0.35">
      <c r="B56" s="408"/>
      <c r="D56" s="1107">
        <v>48</v>
      </c>
      <c r="E56" s="1081">
        <v>0.191</v>
      </c>
      <c r="F56" s="1081">
        <v>0.36</v>
      </c>
      <c r="G56" s="1112">
        <v>80</v>
      </c>
      <c r="H56" s="1081">
        <v>0.159</v>
      </c>
      <c r="I56" s="1084">
        <v>0.35</v>
      </c>
    </row>
    <row r="57" spans="2:9" ht="12.75" customHeight="1" thickBot="1" x14ac:dyDescent="0.35">
      <c r="B57" s="408"/>
      <c r="D57" s="1107">
        <v>49</v>
      </c>
      <c r="E57" s="1081">
        <v>0.19</v>
      </c>
      <c r="F57" s="1081">
        <v>0.35499999999999998</v>
      </c>
      <c r="G57" s="1112">
        <v>81</v>
      </c>
      <c r="H57" s="1081">
        <v>0.158</v>
      </c>
      <c r="I57" s="1084">
        <v>0.35</v>
      </c>
    </row>
    <row r="58" spans="2:9" ht="12.75" customHeight="1" thickBot="1" x14ac:dyDescent="0.35">
      <c r="B58" s="408"/>
      <c r="D58" s="1107">
        <v>50</v>
      </c>
      <c r="E58" s="1081">
        <v>0.189</v>
      </c>
      <c r="F58" s="1081">
        <v>0.35</v>
      </c>
      <c r="G58" s="1112">
        <v>82</v>
      </c>
      <c r="H58" s="1081">
        <v>0.157</v>
      </c>
      <c r="I58" s="1084">
        <v>0.35</v>
      </c>
    </row>
    <row r="59" spans="2:9" ht="12.75" customHeight="1" thickBot="1" x14ac:dyDescent="0.35">
      <c r="B59" s="408"/>
      <c r="D59" s="1107">
        <v>51</v>
      </c>
      <c r="E59" s="1081">
        <v>0.188</v>
      </c>
      <c r="F59" s="1081">
        <v>0.35</v>
      </c>
      <c r="G59" s="1112">
        <v>83</v>
      </c>
      <c r="H59" s="1081">
        <v>0.156</v>
      </c>
      <c r="I59" s="1084">
        <v>0.35</v>
      </c>
    </row>
    <row r="60" spans="2:9" ht="12.75" customHeight="1" thickBot="1" x14ac:dyDescent="0.35">
      <c r="B60" s="408"/>
      <c r="D60" s="1107">
        <v>52</v>
      </c>
      <c r="E60" s="1081">
        <v>0.187</v>
      </c>
      <c r="F60" s="1081">
        <v>0.35</v>
      </c>
      <c r="G60" s="1112">
        <v>84</v>
      </c>
      <c r="H60" s="1081">
        <v>0.155</v>
      </c>
      <c r="I60" s="1084">
        <v>0.35</v>
      </c>
    </row>
    <row r="61" spans="2:9" ht="12.75" customHeight="1" thickBot="1" x14ac:dyDescent="0.35">
      <c r="B61" s="408"/>
      <c r="D61" s="1107">
        <v>53</v>
      </c>
      <c r="E61" s="1081">
        <v>0.186</v>
      </c>
      <c r="F61" s="1081">
        <v>0.35</v>
      </c>
      <c r="G61" s="1112">
        <v>85</v>
      </c>
      <c r="H61" s="1081">
        <v>0.154</v>
      </c>
      <c r="I61" s="1084">
        <v>0.35</v>
      </c>
    </row>
    <row r="62" spans="2:9" ht="12.75" customHeight="1" thickBot="1" x14ac:dyDescent="0.35">
      <c r="B62" s="408"/>
      <c r="D62" s="1107">
        <v>54</v>
      </c>
      <c r="E62" s="1081">
        <v>0.185</v>
      </c>
      <c r="F62" s="1081">
        <v>0.35</v>
      </c>
      <c r="G62" s="1112">
        <v>86</v>
      </c>
      <c r="H62" s="1081">
        <v>0.153</v>
      </c>
      <c r="I62" s="1084">
        <v>0.35</v>
      </c>
    </row>
    <row r="63" spans="2:9" ht="12.75" customHeight="1" thickBot="1" x14ac:dyDescent="0.35">
      <c r="B63" s="408"/>
      <c r="D63" s="1107">
        <v>55</v>
      </c>
      <c r="E63" s="1081">
        <v>0.184</v>
      </c>
      <c r="F63" s="1081">
        <v>0.35</v>
      </c>
      <c r="G63" s="1112">
        <v>87</v>
      </c>
      <c r="H63" s="1081">
        <v>0.152</v>
      </c>
      <c r="I63" s="1084">
        <v>0.35</v>
      </c>
    </row>
    <row r="64" spans="2:9" ht="12.75" customHeight="1" thickBot="1" x14ac:dyDescent="0.35">
      <c r="B64" s="408"/>
      <c r="D64" s="1107">
        <v>56</v>
      </c>
      <c r="E64" s="1081">
        <v>0.183</v>
      </c>
      <c r="F64" s="1081">
        <v>0.35</v>
      </c>
      <c r="G64" s="1112">
        <v>88</v>
      </c>
      <c r="H64" s="1081">
        <v>0.151</v>
      </c>
      <c r="I64" s="1084">
        <v>0.35</v>
      </c>
    </row>
    <row r="65" spans="2:9" ht="12.75" customHeight="1" thickBot="1" x14ac:dyDescent="0.35">
      <c r="B65" s="408"/>
      <c r="D65" s="1110">
        <v>57</v>
      </c>
      <c r="E65" s="1082">
        <v>0.182</v>
      </c>
      <c r="F65" s="1082">
        <v>0.35</v>
      </c>
      <c r="G65" s="1113" t="s">
        <v>512</v>
      </c>
      <c r="H65" s="1082">
        <v>0.15</v>
      </c>
      <c r="I65" s="1085">
        <v>0.35</v>
      </c>
    </row>
    <row r="66" spans="2:9" ht="9" customHeight="1" thickTop="1" x14ac:dyDescent="0.3">
      <c r="B66" s="408"/>
    </row>
    <row r="67" spans="2:9" ht="9.75" customHeight="1" x14ac:dyDescent="0.3">
      <c r="B67" s="408"/>
    </row>
    <row r="68" spans="2:9" x14ac:dyDescent="0.3">
      <c r="B68" s="408"/>
    </row>
    <row r="69" spans="2:9" x14ac:dyDescent="0.3">
      <c r="B69" s="408"/>
    </row>
    <row r="70" spans="2:9" x14ac:dyDescent="0.3">
      <c r="B70" s="408"/>
    </row>
    <row r="71" spans="2:9" x14ac:dyDescent="0.3">
      <c r="B71" s="408"/>
    </row>
    <row r="72" spans="2:9" x14ac:dyDescent="0.3">
      <c r="B72" s="408"/>
    </row>
    <row r="73" spans="2:9" x14ac:dyDescent="0.3">
      <c r="B73" s="408"/>
    </row>
    <row r="74" spans="2:9" x14ac:dyDescent="0.3">
      <c r="B74" s="408"/>
    </row>
    <row r="75" spans="2:9" x14ac:dyDescent="0.3">
      <c r="B75" s="408"/>
    </row>
    <row r="76" spans="2:9" x14ac:dyDescent="0.3">
      <c r="B76" s="408"/>
    </row>
    <row r="77" spans="2:9" x14ac:dyDescent="0.3">
      <c r="B77" s="408"/>
    </row>
    <row r="78" spans="2:9" x14ac:dyDescent="0.3">
      <c r="B78" s="408"/>
    </row>
    <row r="79" spans="2:9" x14ac:dyDescent="0.3">
      <c r="B79" s="408"/>
    </row>
    <row r="80" spans="2:9" x14ac:dyDescent="0.3">
      <c r="B80" s="408"/>
    </row>
    <row r="81" spans="2:12" x14ac:dyDescent="0.3">
      <c r="B81" s="408"/>
    </row>
    <row r="82" spans="2:12" x14ac:dyDescent="0.3">
      <c r="B82" s="408"/>
    </row>
    <row r="83" spans="2:12" x14ac:dyDescent="0.3">
      <c r="B83" s="408"/>
    </row>
    <row r="84" spans="2:12" x14ac:dyDescent="0.3">
      <c r="B84" s="408"/>
    </row>
    <row r="85" spans="2:12" ht="12.9" thickBot="1" x14ac:dyDescent="0.35">
      <c r="B85" s="408"/>
    </row>
    <row r="86" spans="2:12" ht="7.2" customHeight="1" thickTop="1" thickBot="1" x14ac:dyDescent="0.35">
      <c r="B86" s="405"/>
      <c r="C86" s="406"/>
      <c r="D86" s="406"/>
      <c r="E86" s="406"/>
      <c r="F86" s="406"/>
      <c r="G86" s="406"/>
      <c r="H86" s="406"/>
      <c r="I86" s="406"/>
      <c r="J86" s="406"/>
      <c r="K86" s="406"/>
      <c r="L86" s="406"/>
    </row>
    <row r="87" spans="2:12" ht="12.9" thickTop="1" x14ac:dyDescent="0.3"/>
  </sheetData>
  <sheetProtection algorithmName="SHA-512" hashValue="52Ay+lWH/Lw/TFxqwhuZ3TKPbmGFXXObVm2hunK9hsFx/woGZG9EDxzl/NJh4MzkOcsq2bgAYSF08hg+zM6eTg==" saltValue="zX5C219rCqQZBANyg+sMDA==" spinCount="100000" sheet="1" objects="1" scenarios="1"/>
  <mergeCells count="22">
    <mergeCell ref="D15:F15"/>
    <mergeCell ref="D16:F16"/>
    <mergeCell ref="D27:F27"/>
    <mergeCell ref="D9:F9"/>
    <mergeCell ref="D10:F10"/>
    <mergeCell ref="D11:F11"/>
    <mergeCell ref="D12:F12"/>
    <mergeCell ref="D23:F23"/>
    <mergeCell ref="D13:F13"/>
    <mergeCell ref="D14:F14"/>
    <mergeCell ref="D17:F17"/>
    <mergeCell ref="D18:F18"/>
    <mergeCell ref="H32:I32"/>
    <mergeCell ref="D19:F19"/>
    <mergeCell ref="D20:F20"/>
    <mergeCell ref="D21:F21"/>
    <mergeCell ref="D22:F22"/>
    <mergeCell ref="D25:F25"/>
    <mergeCell ref="D26:F26"/>
    <mergeCell ref="D28:F28"/>
    <mergeCell ref="D24:F24"/>
    <mergeCell ref="E32:F32"/>
  </mergeCells>
  <phoneticPr fontId="0" type="noConversion"/>
  <conditionalFormatting sqref="D32:F33">
    <cfRule type="expression" dxfId="14" priority="15">
      <formula>AND(CELL("col")=COLUMN(),CELL("lin")&gt;=34,CELL("lin")&lt;=65)</formula>
    </cfRule>
  </conditionalFormatting>
  <conditionalFormatting sqref="G32:I33">
    <cfRule type="expression" dxfId="13" priority="14">
      <formula>AND(CELL("col")=COLUMN(),CELL("lin")&gt;=34,CELL("lin")&lt;=65)</formula>
    </cfRule>
  </conditionalFormatting>
  <conditionalFormatting sqref="D34:F65">
    <cfRule type="expression" dxfId="12" priority="13">
      <formula>AND(CELL("lin")=ROW(),CELL("col")&gt;=4,CELL("col")&lt;=6)</formula>
    </cfRule>
  </conditionalFormatting>
  <conditionalFormatting sqref="G34:I65">
    <cfRule type="expression" dxfId="11" priority="12">
      <formula>AND(CELL("lin")=ROW(),CELL("col")&gt;=7,CELL("col")&lt;=9)</formula>
    </cfRule>
  </conditionalFormatting>
  <conditionalFormatting sqref="K32:O34">
    <cfRule type="expression" dxfId="10" priority="11">
      <formula>AND(CELL("col")=COLUMN(),CELL("lin")&gt;=35,CELL("lin")&lt;=40)</formula>
    </cfRule>
  </conditionalFormatting>
  <conditionalFormatting sqref="K35:O37">
    <cfRule type="expression" dxfId="9" priority="10">
      <formula>AND(CELL("lin")=ROW(),CELL("col")&gt;=11,CELL("col")&lt;=15)</formula>
    </cfRule>
  </conditionalFormatting>
  <conditionalFormatting sqref="L38:O40">
    <cfRule type="expression" dxfId="8" priority="9">
      <formula>AND(CELL("lin")=ROW(),CELL("col")=11)</formula>
    </cfRule>
  </conditionalFormatting>
  <conditionalFormatting sqref="K38:K40 M38:O40">
    <cfRule type="expression" dxfId="7" priority="8">
      <formula>AND(CELL("lin")=ROW(),CELL("col")=12)</formula>
    </cfRule>
  </conditionalFormatting>
  <conditionalFormatting sqref="K38:L40 N38:O40">
    <cfRule type="expression" dxfId="6" priority="7">
      <formula>AND(CELL("lin")=ROW(),CELL("col")=13)</formula>
    </cfRule>
  </conditionalFormatting>
  <conditionalFormatting sqref="K38:M40 O38:O40">
    <cfRule type="expression" dxfId="5" priority="6">
      <formula>AND(CELL("lin")=ROW(),CELL("col")=14)</formula>
    </cfRule>
  </conditionalFormatting>
  <conditionalFormatting sqref="K38:N40">
    <cfRule type="expression" dxfId="4" priority="5">
      <formula>AND(CELL("lin")=ROW(),CELL("col")=15)</formula>
    </cfRule>
  </conditionalFormatting>
  <conditionalFormatting sqref="G19:G27">
    <cfRule type="expression" dxfId="3" priority="4">
      <formula>AND(CELL("lin")=ROW(),CELL("col")=4)</formula>
    </cfRule>
  </conditionalFormatting>
  <conditionalFormatting sqref="D19:F27">
    <cfRule type="expression" dxfId="2" priority="3">
      <formula>AND(CELL("lin")=ROW(),CELL("col")=7)</formula>
    </cfRule>
  </conditionalFormatting>
  <conditionalFormatting sqref="D19:G27">
    <cfRule type="expression" dxfId="1" priority="2">
      <formula>AND(CELL("lin")=ROW(),CELL("col")=3)</formula>
    </cfRule>
  </conditionalFormatting>
  <conditionalFormatting sqref="K35:O40">
    <cfRule type="expression" dxfId="0" priority="1">
      <formula>AND(CELL("lin")=ROW(),CELL("col")=10)</formula>
    </cfRule>
  </conditionalFormatting>
  <pageMargins left="0.62992125984251968" right="0.51181102362204722" top="0.55118110236220474" bottom="0.39370078740157483" header="0" footer="0"/>
  <pageSetup paperSize="9" scale="6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10">
    <tabColor indexed="53"/>
  </sheetPr>
  <dimension ref="A1"/>
  <sheetViews>
    <sheetView showGridLines="0" showRowColHeaders="0" zoomScale="110" zoomScaleNormal="110" workbookViewId="0"/>
  </sheetViews>
  <sheetFormatPr defaultRowHeight="12.45" x14ac:dyDescent="0.3"/>
  <cols>
    <col min="1" max="1" width="0.69140625" customWidth="1"/>
    <col min="22" max="22" width="8.84375" customWidth="1"/>
    <col min="23" max="23" width="1" customWidth="1"/>
  </cols>
  <sheetData/>
  <sheetProtection algorithmName="SHA-512" hashValue="mzBu4H/ad87J8YmRffgWfxhRW6CC1eznh845iKPkG9rvh8X2Kqy1rU+qaIVRzPPR/mvZuy+1B6n+jbMqal8+TQ==" saltValue="sjIvssQWZoghhzcX20bdeA==" spinCount="100000" sheet="1" objects="1" scenarios="1"/>
  <phoneticPr fontId="0" type="noConversion"/>
  <pageMargins left="0.35433070866141736" right="0.27559055118110237" top="0.74803149606299213" bottom="0.55118110236220474" header="0" footer="0"/>
  <pageSetup paperSize="9" scale="5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lha1">
    <tabColor indexed="53"/>
  </sheetPr>
  <dimension ref="B1:O59"/>
  <sheetViews>
    <sheetView showGridLines="0" showRowColHeaders="0" zoomScale="110" zoomScaleNormal="110" workbookViewId="0"/>
  </sheetViews>
  <sheetFormatPr defaultColWidth="9.15234375" defaultRowHeight="15.45" x14ac:dyDescent="0.3"/>
  <cols>
    <col min="1" max="1" width="1.15234375" style="124" customWidth="1"/>
    <col min="2" max="2" width="7.69140625" style="125" customWidth="1"/>
    <col min="3" max="3" width="1" style="124" customWidth="1"/>
    <col min="4" max="4" width="46.3046875" style="124" customWidth="1"/>
    <col min="5" max="5" width="4.3828125" style="126" bestFit="1" customWidth="1"/>
    <col min="6" max="6" width="25.3828125" style="124" customWidth="1"/>
    <col min="7" max="7" width="10.53515625" style="127" customWidth="1"/>
    <col min="8" max="8" width="9" style="124" customWidth="1"/>
    <col min="9" max="9" width="7.3828125" style="124" customWidth="1"/>
    <col min="10" max="10" width="11.15234375" style="124" customWidth="1"/>
    <col min="11" max="11" width="11" style="124" bestFit="1" customWidth="1"/>
    <col min="12" max="12" width="13.3828125" style="124" customWidth="1"/>
    <col min="13" max="13" width="7.15234375" style="124" customWidth="1"/>
    <col min="14" max="14" width="17.3828125" style="124" customWidth="1"/>
    <col min="15" max="15" width="1" style="124" customWidth="1"/>
    <col min="16" max="16" width="0.53515625" style="124" customWidth="1"/>
    <col min="17" max="17" width="8.69140625" style="124" customWidth="1"/>
    <col min="18" max="16384" width="9.15234375" style="124"/>
  </cols>
  <sheetData>
    <row r="1" spans="2:15" ht="6" customHeight="1" x14ac:dyDescent="0.3"/>
    <row r="2" spans="2:15" x14ac:dyDescent="0.3">
      <c r="B2" s="128"/>
      <c r="C2" s="129"/>
    </row>
    <row r="3" spans="2:15" x14ac:dyDescent="0.3">
      <c r="B3" s="128"/>
      <c r="C3" s="129"/>
    </row>
    <row r="4" spans="2:15" x14ac:dyDescent="0.3">
      <c r="B4" s="128"/>
      <c r="C4" s="129"/>
    </row>
    <row r="5" spans="2:15" ht="70.5" customHeight="1" x14ac:dyDescent="0.3">
      <c r="B5" s="128"/>
      <c r="C5" s="129"/>
    </row>
    <row r="6" spans="2:15" ht="5.25" customHeight="1" x14ac:dyDescent="0.3">
      <c r="B6" s="124"/>
      <c r="E6" s="124"/>
      <c r="G6" s="124"/>
    </row>
    <row r="7" spans="2:15" ht="1.5" customHeight="1" x14ac:dyDescent="0.3">
      <c r="B7" s="130"/>
      <c r="C7" s="130"/>
      <c r="D7" s="130"/>
      <c r="E7" s="130"/>
      <c r="F7" s="130"/>
      <c r="G7" s="130"/>
      <c r="H7" s="131"/>
    </row>
    <row r="8" spans="2:15" ht="18.75" customHeight="1" thickBot="1" x14ac:dyDescent="0.35">
      <c r="B8" s="419" t="s">
        <v>147</v>
      </c>
      <c r="C8" s="420"/>
      <c r="D8" s="419" t="s">
        <v>148</v>
      </c>
      <c r="E8" s="419" t="s">
        <v>149</v>
      </c>
      <c r="F8" s="419" t="s">
        <v>150</v>
      </c>
      <c r="G8" s="423" t="s">
        <v>151</v>
      </c>
      <c r="H8" s="423" t="s">
        <v>152</v>
      </c>
      <c r="I8" s="424" t="s">
        <v>153</v>
      </c>
      <c r="J8" s="425"/>
      <c r="K8" s="425"/>
      <c r="L8" s="418"/>
      <c r="M8" s="418"/>
      <c r="N8" s="418"/>
      <c r="O8" s="418"/>
    </row>
    <row r="9" spans="2:15" ht="6.75" customHeight="1" thickTop="1" thickBot="1" x14ac:dyDescent="0.35">
      <c r="B9" s="421"/>
      <c r="C9" s="132"/>
      <c r="D9" s="133"/>
      <c r="E9" s="426"/>
      <c r="F9" s="134"/>
      <c r="G9" s="135"/>
      <c r="H9" s="134"/>
      <c r="I9" s="134"/>
      <c r="J9" s="134"/>
      <c r="K9" s="134"/>
      <c r="L9" s="134"/>
      <c r="M9" s="134"/>
      <c r="N9" s="134"/>
      <c r="O9" s="136"/>
    </row>
    <row r="10" spans="2:15" s="137" customFormat="1" ht="15" customHeight="1" thickTop="1" thickBot="1" x14ac:dyDescent="0.35">
      <c r="B10" s="436">
        <v>0</v>
      </c>
      <c r="C10" s="138"/>
      <c r="D10" s="447" t="s">
        <v>409</v>
      </c>
      <c r="E10" s="427"/>
      <c r="F10" s="446"/>
      <c r="G10" s="448"/>
      <c r="H10" s="449"/>
      <c r="I10" s="857"/>
      <c r="J10" s="450"/>
      <c r="K10" s="450"/>
      <c r="L10" s="450"/>
      <c r="M10" s="450"/>
      <c r="N10" s="858"/>
      <c r="O10" s="139"/>
    </row>
    <row r="11" spans="2:15" s="137" customFormat="1" ht="24" thickTop="1" thickBot="1" x14ac:dyDescent="0.35">
      <c r="B11" s="437"/>
      <c r="C11" s="138"/>
      <c r="D11" s="1231" t="s">
        <v>190</v>
      </c>
      <c r="E11" s="428" t="s">
        <v>155</v>
      </c>
      <c r="F11" s="451" t="s">
        <v>156</v>
      </c>
      <c r="G11" s="452" t="s">
        <v>157</v>
      </c>
      <c r="H11" s="453"/>
      <c r="I11" s="859" t="s">
        <v>478</v>
      </c>
      <c r="J11" s="454"/>
      <c r="K11" s="454"/>
      <c r="L11" s="454"/>
      <c r="M11" s="454"/>
      <c r="N11" s="860"/>
      <c r="O11" s="139"/>
    </row>
    <row r="12" spans="2:15" s="137" customFormat="1" ht="13.5" customHeight="1" thickTop="1" thickBot="1" x14ac:dyDescent="0.35">
      <c r="B12" s="437"/>
      <c r="C12" s="138"/>
      <c r="D12" s="1232"/>
      <c r="E12" s="428"/>
      <c r="F12" s="555"/>
      <c r="G12" s="556"/>
      <c r="H12" s="453"/>
      <c r="I12" s="885"/>
      <c r="J12" s="454"/>
      <c r="K12" s="454"/>
      <c r="L12" s="454"/>
      <c r="M12" s="454"/>
      <c r="N12" s="860"/>
      <c r="O12" s="139"/>
    </row>
    <row r="13" spans="2:15" s="137" customFormat="1" ht="18.45" thickTop="1" thickBot="1" x14ac:dyDescent="0.35">
      <c r="B13" s="437"/>
      <c r="C13" s="138"/>
      <c r="D13" s="1231" t="s">
        <v>191</v>
      </c>
      <c r="E13" s="1233" t="s">
        <v>115</v>
      </c>
      <c r="F13" s="1235" t="s">
        <v>192</v>
      </c>
      <c r="G13" s="557" t="s">
        <v>82</v>
      </c>
      <c r="H13" s="519"/>
      <c r="I13" s="886" t="s">
        <v>479</v>
      </c>
      <c r="J13" s="558"/>
      <c r="K13" s="558"/>
      <c r="L13" s="558"/>
      <c r="M13" s="558"/>
      <c r="N13" s="887"/>
      <c r="O13" s="139"/>
    </row>
    <row r="14" spans="2:15" s="137" customFormat="1" ht="12.75" customHeight="1" thickTop="1" thickBot="1" x14ac:dyDescent="0.35">
      <c r="B14" s="437"/>
      <c r="C14" s="138"/>
      <c r="D14" s="1232"/>
      <c r="E14" s="1234"/>
      <c r="F14" s="1236"/>
      <c r="G14" s="452"/>
      <c r="H14" s="453"/>
      <c r="I14" s="888"/>
      <c r="J14" s="461" t="s">
        <v>480</v>
      </c>
      <c r="K14" s="454"/>
      <c r="L14" s="454"/>
      <c r="M14" s="454"/>
      <c r="N14" s="860"/>
      <c r="O14" s="139"/>
    </row>
    <row r="15" spans="2:15" s="137" customFormat="1" ht="13.5" customHeight="1" thickTop="1" thickBot="1" x14ac:dyDescent="0.35">
      <c r="B15" s="438"/>
      <c r="C15" s="138"/>
      <c r="D15" s="477"/>
      <c r="E15" s="428"/>
      <c r="F15" s="460"/>
      <c r="G15" s="452"/>
      <c r="H15" s="453"/>
      <c r="I15" s="888"/>
      <c r="J15" s="461" t="s">
        <v>483</v>
      </c>
      <c r="K15" s="454"/>
      <c r="L15" s="454"/>
      <c r="M15" s="454"/>
      <c r="N15" s="860"/>
      <c r="O15" s="139"/>
    </row>
    <row r="16" spans="2:15" s="137" customFormat="1" ht="15" customHeight="1" thickTop="1" thickBot="1" x14ac:dyDescent="0.35">
      <c r="B16" s="439">
        <v>1</v>
      </c>
      <c r="C16" s="138"/>
      <c r="D16" s="447" t="s">
        <v>408</v>
      </c>
      <c r="E16" s="427" t="s">
        <v>83</v>
      </c>
      <c r="F16" s="470" t="s">
        <v>406</v>
      </c>
      <c r="G16" s="448" t="s">
        <v>79</v>
      </c>
      <c r="H16" s="449" t="s">
        <v>277</v>
      </c>
      <c r="I16" s="865">
        <v>9054</v>
      </c>
      <c r="J16" s="450" t="s">
        <v>160</v>
      </c>
      <c r="K16" s="551">
        <v>22254</v>
      </c>
      <c r="L16" s="450" t="s">
        <v>285</v>
      </c>
      <c r="M16" s="551">
        <v>3740</v>
      </c>
      <c r="N16" s="858" t="s">
        <v>286</v>
      </c>
      <c r="O16" s="139"/>
    </row>
    <row r="17" spans="2:15" s="137" customFormat="1" ht="18.45" thickTop="1" thickBot="1" x14ac:dyDescent="0.35">
      <c r="B17" s="439"/>
      <c r="C17" s="138"/>
      <c r="D17" s="478" t="s">
        <v>412</v>
      </c>
      <c r="E17" s="532" t="s">
        <v>84</v>
      </c>
      <c r="F17" s="544" t="s">
        <v>112</v>
      </c>
      <c r="G17" s="547" t="s">
        <v>80</v>
      </c>
      <c r="H17" s="548"/>
      <c r="I17" s="553">
        <v>0.65</v>
      </c>
      <c r="J17" s="536" t="s">
        <v>160</v>
      </c>
      <c r="K17" s="554">
        <v>1.55</v>
      </c>
      <c r="L17" s="536" t="s">
        <v>285</v>
      </c>
      <c r="M17" s="554">
        <v>0.55000000000000004</v>
      </c>
      <c r="N17" s="866" t="s">
        <v>286</v>
      </c>
      <c r="O17" s="139"/>
    </row>
    <row r="18" spans="2:15" s="137" customFormat="1" ht="18.45" thickTop="1" thickBot="1" x14ac:dyDescent="0.35">
      <c r="B18" s="439"/>
      <c r="C18" s="138"/>
      <c r="D18" s="478"/>
      <c r="E18" s="532" t="s">
        <v>85</v>
      </c>
      <c r="F18" s="544" t="s">
        <v>113</v>
      </c>
      <c r="G18" s="547" t="s">
        <v>81</v>
      </c>
      <c r="H18" s="548"/>
      <c r="I18" s="553">
        <v>0.62</v>
      </c>
      <c r="J18" s="536" t="s">
        <v>160</v>
      </c>
      <c r="K18" s="554">
        <v>1.1599999999999999</v>
      </c>
      <c r="L18" s="536" t="s">
        <v>285</v>
      </c>
      <c r="M18" s="554">
        <v>0.55000000000000004</v>
      </c>
      <c r="N18" s="866" t="s">
        <v>286</v>
      </c>
      <c r="O18" s="139"/>
    </row>
    <row r="19" spans="2:15" s="137" customFormat="1" ht="24" thickTop="1" thickBot="1" x14ac:dyDescent="0.35">
      <c r="B19" s="439"/>
      <c r="C19" s="138"/>
      <c r="D19" s="478" t="s">
        <v>413</v>
      </c>
      <c r="E19" s="532" t="s">
        <v>161</v>
      </c>
      <c r="F19" s="533" t="s">
        <v>472</v>
      </c>
      <c r="G19" s="547" t="s">
        <v>53</v>
      </c>
      <c r="H19" s="549" t="s">
        <v>55</v>
      </c>
      <c r="I19" s="552" t="s">
        <v>162</v>
      </c>
      <c r="J19" s="454"/>
      <c r="K19" s="454"/>
      <c r="L19" s="454"/>
      <c r="M19" s="454"/>
      <c r="N19" s="860"/>
      <c r="O19" s="139"/>
    </row>
    <row r="20" spans="2:15" s="137" customFormat="1" ht="18.45" thickTop="1" thickBot="1" x14ac:dyDescent="0.35">
      <c r="B20" s="439"/>
      <c r="C20" s="138"/>
      <c r="D20" s="478"/>
      <c r="E20" s="532" t="s">
        <v>163</v>
      </c>
      <c r="F20" s="544" t="s">
        <v>405</v>
      </c>
      <c r="G20" s="547" t="s">
        <v>54</v>
      </c>
      <c r="H20" s="535" t="s">
        <v>164</v>
      </c>
      <c r="I20" s="465"/>
      <c r="J20" s="454"/>
      <c r="K20" s="454"/>
      <c r="L20" s="454"/>
      <c r="M20" s="454"/>
      <c r="N20" s="860"/>
      <c r="O20" s="139"/>
    </row>
    <row r="21" spans="2:15" s="137" customFormat="1" ht="30.75" customHeight="1" thickTop="1" thickBot="1" x14ac:dyDescent="0.35">
      <c r="B21" s="439"/>
      <c r="C21" s="138"/>
      <c r="D21" s="479" t="s">
        <v>414</v>
      </c>
      <c r="E21" s="532" t="s">
        <v>86</v>
      </c>
      <c r="F21" s="544" t="s">
        <v>410</v>
      </c>
      <c r="G21" s="547" t="s">
        <v>165</v>
      </c>
      <c r="H21" s="535" t="s">
        <v>164</v>
      </c>
      <c r="I21" s="465"/>
      <c r="J21" s="466"/>
      <c r="K21" s="466"/>
      <c r="L21" s="466"/>
      <c r="M21" s="466"/>
      <c r="N21" s="867"/>
      <c r="O21" s="139"/>
    </row>
    <row r="22" spans="2:15" ht="33" customHeight="1" thickTop="1" thickBot="1" x14ac:dyDescent="0.35">
      <c r="B22" s="440"/>
      <c r="C22" s="140"/>
      <c r="D22" s="480"/>
      <c r="E22" s="532" t="s">
        <v>91</v>
      </c>
      <c r="F22" s="544" t="s">
        <v>411</v>
      </c>
      <c r="G22" s="547" t="s">
        <v>166</v>
      </c>
      <c r="H22" s="535" t="s">
        <v>164</v>
      </c>
      <c r="I22" s="1256" t="s">
        <v>466</v>
      </c>
      <c r="J22" s="1257"/>
      <c r="K22" s="1257"/>
      <c r="L22" s="1257"/>
      <c r="M22" s="1257"/>
      <c r="N22" s="1258"/>
      <c r="O22" s="136"/>
    </row>
    <row r="23" spans="2:15" ht="35.6" thickTop="1" thickBot="1" x14ac:dyDescent="0.35">
      <c r="B23" s="440"/>
      <c r="C23" s="141"/>
      <c r="D23" s="480"/>
      <c r="E23" s="532" t="s">
        <v>167</v>
      </c>
      <c r="F23" s="544" t="s">
        <v>168</v>
      </c>
      <c r="G23" s="550" t="s">
        <v>169</v>
      </c>
      <c r="H23" s="535" t="s">
        <v>164</v>
      </c>
      <c r="I23" s="844"/>
      <c r="J23" s="524"/>
      <c r="K23" s="524"/>
      <c r="L23" s="524"/>
      <c r="M23" s="524"/>
      <c r="N23" s="868"/>
      <c r="O23" s="136"/>
    </row>
    <row r="24" spans="2:15" ht="44.25" customHeight="1" thickTop="1" thickBot="1" x14ac:dyDescent="0.35">
      <c r="B24" s="440"/>
      <c r="C24" s="142"/>
      <c r="D24" s="481" t="s">
        <v>170</v>
      </c>
      <c r="E24" s="429" t="s">
        <v>89</v>
      </c>
      <c r="F24" s="543" t="s">
        <v>171</v>
      </c>
      <c r="G24" s="546" t="s">
        <v>172</v>
      </c>
      <c r="H24" s="455" t="s">
        <v>164</v>
      </c>
      <c r="I24" s="869"/>
      <c r="J24" s="467"/>
      <c r="K24" s="467"/>
      <c r="L24" s="1264" t="s">
        <v>173</v>
      </c>
      <c r="M24" s="1265"/>
      <c r="N24" s="1266"/>
      <c r="O24" s="136"/>
    </row>
    <row r="25" spans="2:15" ht="27" customHeight="1" thickTop="1" thickBot="1" x14ac:dyDescent="0.35">
      <c r="B25" s="441">
        <v>2</v>
      </c>
      <c r="C25" s="132"/>
      <c r="D25" s="856" t="s">
        <v>491</v>
      </c>
      <c r="E25" s="427" t="s">
        <v>78</v>
      </c>
      <c r="F25" s="470" t="s">
        <v>193</v>
      </c>
      <c r="G25" s="458" t="s">
        <v>18</v>
      </c>
      <c r="H25" s="449"/>
      <c r="I25" s="464" t="s">
        <v>174</v>
      </c>
      <c r="J25" s="474"/>
      <c r="K25" s="474"/>
      <c r="L25" s="474"/>
      <c r="M25" s="474"/>
      <c r="N25" s="870"/>
      <c r="O25" s="136"/>
    </row>
    <row r="26" spans="2:15" ht="21" customHeight="1" thickTop="1" thickBot="1" x14ac:dyDescent="0.35">
      <c r="B26" s="442"/>
      <c r="C26" s="142"/>
      <c r="D26" s="481"/>
      <c r="E26" s="532" t="s">
        <v>194</v>
      </c>
      <c r="F26" s="544" t="s">
        <v>415</v>
      </c>
      <c r="G26" s="547" t="s">
        <v>195</v>
      </c>
      <c r="H26" s="535"/>
      <c r="I26" s="889" t="s">
        <v>196</v>
      </c>
      <c r="J26" s="537"/>
      <c r="K26" s="537"/>
      <c r="L26" s="537"/>
      <c r="M26" s="537"/>
      <c r="N26" s="882"/>
      <c r="O26" s="136"/>
    </row>
    <row r="27" spans="2:15" ht="27" customHeight="1" thickTop="1" thickBot="1" x14ac:dyDescent="0.35">
      <c r="B27" s="443"/>
      <c r="C27" s="142"/>
      <c r="D27" s="481"/>
      <c r="E27" s="429" t="s">
        <v>92</v>
      </c>
      <c r="F27" s="543" t="s">
        <v>416</v>
      </c>
      <c r="G27" s="546" t="s">
        <v>64</v>
      </c>
      <c r="H27" s="455" t="s">
        <v>164</v>
      </c>
      <c r="I27" s="871"/>
      <c r="J27" s="467"/>
      <c r="K27" s="467"/>
      <c r="L27" s="467"/>
      <c r="M27" s="467"/>
      <c r="N27" s="874"/>
      <c r="O27" s="136"/>
    </row>
    <row r="28" spans="2:15" ht="24" thickTop="1" thickBot="1" x14ac:dyDescent="0.35">
      <c r="B28" s="440">
        <v>3</v>
      </c>
      <c r="C28" s="132"/>
      <c r="D28" s="846" t="s">
        <v>182</v>
      </c>
      <c r="E28" s="427" t="s">
        <v>93</v>
      </c>
      <c r="F28" s="470" t="s">
        <v>183</v>
      </c>
      <c r="G28" s="471" t="s">
        <v>65</v>
      </c>
      <c r="H28" s="449" t="s">
        <v>27</v>
      </c>
      <c r="I28" s="464" t="s">
        <v>174</v>
      </c>
      <c r="J28" s="848"/>
      <c r="K28" s="848"/>
      <c r="L28" s="848"/>
      <c r="M28" s="848"/>
      <c r="N28" s="890"/>
      <c r="O28" s="136"/>
    </row>
    <row r="29" spans="2:15" ht="31.5" customHeight="1" thickTop="1" thickBot="1" x14ac:dyDescent="0.35">
      <c r="B29" s="440"/>
      <c r="C29" s="142"/>
      <c r="D29" s="481"/>
      <c r="E29" s="532" t="s">
        <v>43</v>
      </c>
      <c r="F29" s="544" t="s">
        <v>184</v>
      </c>
      <c r="G29" s="545" t="s">
        <v>67</v>
      </c>
      <c r="H29" s="535" t="s">
        <v>27</v>
      </c>
      <c r="I29" s="1267" t="s">
        <v>204</v>
      </c>
      <c r="J29" s="1268"/>
      <c r="K29" s="1268"/>
      <c r="L29" s="1268"/>
      <c r="M29" s="1268"/>
      <c r="N29" s="1269"/>
      <c r="O29" s="136"/>
    </row>
    <row r="30" spans="2:15" ht="27.75" customHeight="1" thickTop="1" thickBot="1" x14ac:dyDescent="0.35">
      <c r="B30" s="440"/>
      <c r="C30" s="142"/>
      <c r="D30" s="481"/>
      <c r="E30" s="532" t="s">
        <v>94</v>
      </c>
      <c r="F30" s="544" t="s">
        <v>364</v>
      </c>
      <c r="G30" s="547" t="s">
        <v>463</v>
      </c>
      <c r="H30" s="535" t="s">
        <v>344</v>
      </c>
      <c r="I30" s="1267" t="s">
        <v>465</v>
      </c>
      <c r="J30" s="1273"/>
      <c r="K30" s="1273"/>
      <c r="L30" s="1273"/>
      <c r="M30" s="1273"/>
      <c r="N30" s="1274"/>
      <c r="O30" s="136"/>
    </row>
    <row r="31" spans="2:15" ht="25.5" customHeight="1" thickTop="1" thickBot="1" x14ac:dyDescent="0.35">
      <c r="B31" s="440"/>
      <c r="C31" s="142"/>
      <c r="D31" s="481"/>
      <c r="E31" s="532" t="s">
        <v>342</v>
      </c>
      <c r="F31" s="544" t="s">
        <v>347</v>
      </c>
      <c r="G31" s="545" t="s">
        <v>341</v>
      </c>
      <c r="H31" s="535" t="s">
        <v>27</v>
      </c>
      <c r="I31" s="1270" t="s">
        <v>461</v>
      </c>
      <c r="J31" s="1271"/>
      <c r="K31" s="1271"/>
      <c r="L31" s="1271"/>
      <c r="M31" s="1271"/>
      <c r="N31" s="1272"/>
      <c r="O31" s="136"/>
    </row>
    <row r="32" spans="2:15" ht="25.5" customHeight="1" thickTop="1" thickBot="1" x14ac:dyDescent="0.35">
      <c r="B32" s="440"/>
      <c r="C32" s="141"/>
      <c r="D32" s="482" t="s">
        <v>185</v>
      </c>
      <c r="E32" s="429" t="s">
        <v>462</v>
      </c>
      <c r="F32" s="543" t="s">
        <v>422</v>
      </c>
      <c r="G32" s="473" t="s">
        <v>66</v>
      </c>
      <c r="H32" s="455" t="s">
        <v>27</v>
      </c>
      <c r="I32" s="871"/>
      <c r="J32" s="467"/>
      <c r="K32" s="849"/>
      <c r="L32" s="849"/>
      <c r="M32" s="849"/>
      <c r="N32" s="872"/>
      <c r="O32" s="136"/>
    </row>
    <row r="33" spans="2:15" ht="24" thickTop="1" thickBot="1" x14ac:dyDescent="0.35">
      <c r="B33" s="441">
        <v>4</v>
      </c>
      <c r="C33" s="132"/>
      <c r="D33" s="846" t="s">
        <v>424</v>
      </c>
      <c r="E33" s="528" t="s">
        <v>97</v>
      </c>
      <c r="F33" s="542" t="s">
        <v>420</v>
      </c>
      <c r="G33" s="540" t="s">
        <v>95</v>
      </c>
      <c r="H33" s="531" t="s">
        <v>27</v>
      </c>
      <c r="I33" s="1243" t="s">
        <v>423</v>
      </c>
      <c r="J33" s="1244"/>
      <c r="K33" s="1244"/>
      <c r="L33" s="1244"/>
      <c r="M33" s="1244"/>
      <c r="N33" s="873"/>
      <c r="O33" s="136"/>
    </row>
    <row r="34" spans="2:15" ht="25.5" customHeight="1" thickTop="1" thickBot="1" x14ac:dyDescent="0.35">
      <c r="B34" s="443"/>
      <c r="C34" s="141"/>
      <c r="D34" s="482" t="s">
        <v>426</v>
      </c>
      <c r="E34" s="429" t="s">
        <v>98</v>
      </c>
      <c r="F34" s="543" t="s">
        <v>421</v>
      </c>
      <c r="G34" s="473" t="s">
        <v>96</v>
      </c>
      <c r="H34" s="455" t="s">
        <v>27</v>
      </c>
      <c r="I34" s="871"/>
      <c r="J34" s="467"/>
      <c r="K34" s="467"/>
      <c r="L34" s="467"/>
      <c r="M34" s="467"/>
      <c r="N34" s="874"/>
      <c r="O34" s="136"/>
    </row>
    <row r="35" spans="2:15" ht="25.5" customHeight="1" thickTop="1" thickBot="1" x14ac:dyDescent="0.35">
      <c r="B35" s="440">
        <v>5</v>
      </c>
      <c r="C35" s="132"/>
      <c r="D35" s="847" t="s">
        <v>427</v>
      </c>
      <c r="E35" s="528" t="s">
        <v>197</v>
      </c>
      <c r="F35" s="542" t="s">
        <v>430</v>
      </c>
      <c r="G35" s="560" t="s">
        <v>370</v>
      </c>
      <c r="H35" s="531" t="s">
        <v>240</v>
      </c>
      <c r="I35" s="875"/>
      <c r="J35" s="541"/>
      <c r="K35" s="541"/>
      <c r="L35" s="541"/>
      <c r="M35" s="541"/>
      <c r="N35" s="873"/>
      <c r="O35" s="136"/>
    </row>
    <row r="36" spans="2:15" ht="22.5" customHeight="1" thickTop="1" thickBot="1" x14ac:dyDescent="0.35">
      <c r="B36" s="440"/>
      <c r="C36" s="142"/>
      <c r="D36" s="483"/>
      <c r="E36" s="429" t="s">
        <v>123</v>
      </c>
      <c r="F36" s="526" t="s">
        <v>429</v>
      </c>
      <c r="G36" s="527" t="s">
        <v>298</v>
      </c>
      <c r="H36" s="455" t="s">
        <v>56</v>
      </c>
      <c r="I36" s="876" t="s">
        <v>299</v>
      </c>
      <c r="J36" s="467"/>
      <c r="K36" s="467"/>
      <c r="L36" s="467"/>
      <c r="M36" s="467"/>
      <c r="N36" s="874"/>
      <c r="O36" s="136"/>
    </row>
    <row r="37" spans="2:15" ht="27.75" customHeight="1" thickTop="1" thickBot="1" x14ac:dyDescent="0.35">
      <c r="B37" s="441">
        <v>6</v>
      </c>
      <c r="C37" s="132"/>
      <c r="D37" s="846" t="s">
        <v>417</v>
      </c>
      <c r="E37" s="528" t="s">
        <v>99</v>
      </c>
      <c r="F37" s="542" t="s">
        <v>418</v>
      </c>
      <c r="G37" s="540" t="s">
        <v>69</v>
      </c>
      <c r="H37" s="531" t="s">
        <v>26</v>
      </c>
      <c r="I37" s="875"/>
      <c r="J37" s="541"/>
      <c r="K37" s="541"/>
      <c r="L37" s="541"/>
      <c r="M37" s="541"/>
      <c r="N37" s="873"/>
      <c r="O37" s="136"/>
    </row>
    <row r="38" spans="2:15" ht="35.6" thickTop="1" thickBot="1" x14ac:dyDescent="0.35">
      <c r="B38" s="443"/>
      <c r="C38" s="141"/>
      <c r="D38" s="850" t="s">
        <v>432</v>
      </c>
      <c r="E38" s="429" t="s">
        <v>100</v>
      </c>
      <c r="F38" s="543" t="s">
        <v>419</v>
      </c>
      <c r="G38" s="473" t="s">
        <v>70</v>
      </c>
      <c r="H38" s="455" t="s">
        <v>26</v>
      </c>
      <c r="I38" s="1245" t="s">
        <v>492</v>
      </c>
      <c r="J38" s="1246"/>
      <c r="K38" s="1246"/>
      <c r="L38" s="1246"/>
      <c r="M38" s="1246"/>
      <c r="N38" s="874"/>
      <c r="O38" s="136"/>
    </row>
    <row r="39" spans="2:15" ht="18.45" thickTop="1" thickBot="1" x14ac:dyDescent="0.35">
      <c r="B39" s="440">
        <v>7</v>
      </c>
      <c r="C39" s="132"/>
      <c r="D39" s="1249" t="s">
        <v>435</v>
      </c>
      <c r="E39" s="528" t="s">
        <v>199</v>
      </c>
      <c r="F39" s="542" t="s">
        <v>431</v>
      </c>
      <c r="G39" s="540" t="s">
        <v>436</v>
      </c>
      <c r="H39" s="531" t="s">
        <v>56</v>
      </c>
      <c r="I39" s="877" t="s">
        <v>438</v>
      </c>
      <c r="J39" s="541"/>
      <c r="K39" s="541"/>
      <c r="L39" s="541"/>
      <c r="M39" s="541"/>
      <c r="N39" s="873"/>
      <c r="O39" s="136"/>
    </row>
    <row r="40" spans="2:15" ht="18.45" thickTop="1" thickBot="1" x14ac:dyDescent="0.35">
      <c r="B40" s="440"/>
      <c r="C40" s="141"/>
      <c r="D40" s="1250"/>
      <c r="E40" s="429" t="s">
        <v>90</v>
      </c>
      <c r="F40" s="472"/>
      <c r="G40" s="475"/>
      <c r="H40" s="852" t="s">
        <v>486</v>
      </c>
      <c r="I40" s="876" t="s">
        <v>437</v>
      </c>
      <c r="J40" s="467"/>
      <c r="K40" s="467"/>
      <c r="L40" s="467"/>
      <c r="M40" s="467"/>
      <c r="N40" s="874"/>
      <c r="O40" s="136"/>
    </row>
    <row r="41" spans="2:15" ht="42" customHeight="1" thickTop="1" thickBot="1" x14ac:dyDescent="0.35">
      <c r="B41" s="441">
        <v>8</v>
      </c>
      <c r="C41" s="132"/>
      <c r="D41" s="1247" t="s">
        <v>475</v>
      </c>
      <c r="E41" s="427" t="s">
        <v>101</v>
      </c>
      <c r="F41" s="470" t="s">
        <v>442</v>
      </c>
      <c r="G41" s="471" t="s">
        <v>292</v>
      </c>
      <c r="H41" s="449" t="s">
        <v>56</v>
      </c>
      <c r="I41" s="1251" t="s">
        <v>200</v>
      </c>
      <c r="J41" s="1252"/>
      <c r="K41" s="1252"/>
      <c r="L41" s="1252"/>
      <c r="M41" s="1252"/>
      <c r="N41" s="1253"/>
      <c r="O41" s="136"/>
    </row>
    <row r="42" spans="2:15" ht="19.5" customHeight="1" thickTop="1" thickBot="1" x14ac:dyDescent="0.35">
      <c r="B42" s="442"/>
      <c r="C42" s="142"/>
      <c r="D42" s="1248"/>
      <c r="E42" s="428"/>
      <c r="F42" s="460"/>
      <c r="G42" s="514"/>
      <c r="H42" s="453"/>
      <c r="I42" s="1254"/>
      <c r="J42" s="1136"/>
      <c r="K42" s="1136"/>
      <c r="L42" s="1136"/>
      <c r="M42" s="1136"/>
      <c r="N42" s="1255"/>
      <c r="O42" s="136"/>
    </row>
    <row r="43" spans="2:15" ht="21.75" customHeight="1" thickTop="1" thickBot="1" x14ac:dyDescent="0.35">
      <c r="B43" s="442"/>
      <c r="C43" s="142"/>
      <c r="D43" s="1259" t="s">
        <v>447</v>
      </c>
      <c r="E43" s="516" t="s">
        <v>102</v>
      </c>
      <c r="F43" s="517" t="s">
        <v>443</v>
      </c>
      <c r="G43" s="518" t="s">
        <v>291</v>
      </c>
      <c r="H43" s="519" t="s">
        <v>56</v>
      </c>
      <c r="I43" s="465"/>
      <c r="J43" s="466"/>
      <c r="K43" s="466"/>
      <c r="L43" s="466"/>
      <c r="M43" s="466"/>
      <c r="N43" s="867"/>
      <c r="O43" s="136"/>
    </row>
    <row r="44" spans="2:15" ht="48.75" customHeight="1" thickTop="1" thickBot="1" x14ac:dyDescent="0.55000000000000004">
      <c r="B44" s="442"/>
      <c r="C44" s="142"/>
      <c r="D44" s="1259"/>
      <c r="E44" s="520"/>
      <c r="F44" s="521"/>
      <c r="G44" s="522"/>
      <c r="H44" s="523"/>
      <c r="I44" s="879" t="s">
        <v>293</v>
      </c>
      <c r="J44" s="524"/>
      <c r="K44" s="524"/>
      <c r="L44" s="524"/>
      <c r="M44" s="524"/>
      <c r="N44" s="868"/>
      <c r="O44" s="136"/>
    </row>
    <row r="45" spans="2:15" ht="30" customHeight="1" thickTop="1" thickBot="1" x14ac:dyDescent="0.35">
      <c r="B45" s="442"/>
      <c r="C45" s="142"/>
      <c r="D45" s="481" t="s">
        <v>446</v>
      </c>
      <c r="E45" s="428" t="s">
        <v>103</v>
      </c>
      <c r="F45" s="515" t="s">
        <v>444</v>
      </c>
      <c r="G45" s="514" t="s">
        <v>290</v>
      </c>
      <c r="H45" s="453" t="s">
        <v>56</v>
      </c>
      <c r="I45" s="880"/>
      <c r="J45" s="466"/>
      <c r="K45" s="466"/>
      <c r="L45" s="466"/>
      <c r="M45" s="466"/>
      <c r="N45" s="867"/>
      <c r="O45" s="136"/>
    </row>
    <row r="46" spans="2:15" ht="45.9" thickTop="1" thickBot="1" x14ac:dyDescent="0.35">
      <c r="B46" s="443"/>
      <c r="C46" s="141"/>
      <c r="D46" s="484" t="s">
        <v>448</v>
      </c>
      <c r="E46" s="429"/>
      <c r="F46" s="472"/>
      <c r="G46" s="475"/>
      <c r="H46" s="476"/>
      <c r="I46" s="1260" t="s">
        <v>494</v>
      </c>
      <c r="J46" s="1261"/>
      <c r="K46" s="1261"/>
      <c r="L46" s="1261"/>
      <c r="M46" s="1261"/>
      <c r="N46" s="874"/>
      <c r="O46" s="136"/>
    </row>
    <row r="47" spans="2:15" ht="26.25" customHeight="1" thickTop="1" thickBot="1" x14ac:dyDescent="0.35">
      <c r="B47" s="440">
        <v>9</v>
      </c>
      <c r="C47" s="132"/>
      <c r="D47" s="855" t="s">
        <v>449</v>
      </c>
      <c r="E47" s="427" t="s">
        <v>104</v>
      </c>
      <c r="F47" s="457" t="s">
        <v>452</v>
      </c>
      <c r="G47" s="525" t="s">
        <v>71</v>
      </c>
      <c r="H47" s="449" t="s">
        <v>56</v>
      </c>
      <c r="I47" s="881"/>
      <c r="J47" s="474"/>
      <c r="K47" s="474"/>
      <c r="L47" s="474"/>
      <c r="M47" s="474"/>
      <c r="N47" s="870"/>
      <c r="O47" s="136"/>
    </row>
    <row r="48" spans="2:15" ht="27.75" customHeight="1" thickTop="1" thickBot="1" x14ac:dyDescent="0.35">
      <c r="B48" s="440"/>
      <c r="C48" s="142"/>
      <c r="D48" s="854" t="s">
        <v>450</v>
      </c>
      <c r="E48" s="532" t="s">
        <v>201</v>
      </c>
      <c r="F48" s="533" t="s">
        <v>453</v>
      </c>
      <c r="G48" s="534" t="s">
        <v>289</v>
      </c>
      <c r="H48" s="535" t="s">
        <v>56</v>
      </c>
      <c r="I48" s="845"/>
      <c r="J48" s="537"/>
      <c r="K48" s="537"/>
      <c r="L48" s="891"/>
      <c r="M48" s="891"/>
      <c r="N48" s="892"/>
      <c r="O48" s="136"/>
    </row>
    <row r="49" spans="2:15" ht="24" customHeight="1" thickTop="1" thickBot="1" x14ac:dyDescent="0.35">
      <c r="B49" s="440"/>
      <c r="C49" s="142"/>
      <c r="D49" s="481"/>
      <c r="E49" s="532" t="s">
        <v>202</v>
      </c>
      <c r="F49" s="538"/>
      <c r="G49" s="539"/>
      <c r="H49" s="851" t="s">
        <v>486</v>
      </c>
      <c r="I49" s="845"/>
      <c r="J49" s="537"/>
      <c r="K49" s="537"/>
      <c r="L49" s="524"/>
      <c r="M49" s="524"/>
      <c r="N49" s="868"/>
      <c r="O49" s="136"/>
    </row>
    <row r="50" spans="2:15" ht="32.25" customHeight="1" thickTop="1" thickBot="1" x14ac:dyDescent="0.35">
      <c r="B50" s="440"/>
      <c r="C50" s="142"/>
      <c r="D50" s="481"/>
      <c r="E50" s="532" t="s">
        <v>105</v>
      </c>
      <c r="F50" s="533" t="s">
        <v>454</v>
      </c>
      <c r="G50" s="534" t="s">
        <v>455</v>
      </c>
      <c r="H50" s="535" t="s">
        <v>56</v>
      </c>
      <c r="I50" s="1262" t="s">
        <v>495</v>
      </c>
      <c r="J50" s="1263"/>
      <c r="K50" s="1263"/>
      <c r="L50" s="1263"/>
      <c r="M50" s="1263"/>
      <c r="N50" s="882"/>
      <c r="O50" s="136"/>
    </row>
    <row r="51" spans="2:15" ht="28.5" customHeight="1" thickTop="1" thickBot="1" x14ac:dyDescent="0.35">
      <c r="B51" s="440"/>
      <c r="C51" s="141"/>
      <c r="D51" s="482" t="s">
        <v>451</v>
      </c>
      <c r="E51" s="429" t="s">
        <v>106</v>
      </c>
      <c r="F51" s="526" t="s">
        <v>441</v>
      </c>
      <c r="G51" s="527" t="s">
        <v>445</v>
      </c>
      <c r="H51" s="455" t="s">
        <v>56</v>
      </c>
      <c r="I51" s="871"/>
      <c r="J51" s="467"/>
      <c r="K51" s="467"/>
      <c r="L51" s="467"/>
      <c r="M51" s="467"/>
      <c r="N51" s="874"/>
      <c r="O51" s="136"/>
    </row>
    <row r="52" spans="2:15" ht="27.75" customHeight="1" thickTop="1" thickBot="1" x14ac:dyDescent="0.35">
      <c r="B52" s="441">
        <v>10</v>
      </c>
      <c r="C52" s="132"/>
      <c r="D52" s="447" t="s">
        <v>460</v>
      </c>
      <c r="E52" s="528" t="s">
        <v>107</v>
      </c>
      <c r="F52" s="529" t="s">
        <v>456</v>
      </c>
      <c r="G52" s="540" t="s">
        <v>187</v>
      </c>
      <c r="H52" s="531" t="s">
        <v>60</v>
      </c>
      <c r="I52" s="875"/>
      <c r="J52" s="541"/>
      <c r="K52" s="541"/>
      <c r="L52" s="541"/>
      <c r="M52" s="541"/>
      <c r="N52" s="873"/>
      <c r="O52" s="136"/>
    </row>
    <row r="53" spans="2:15" ht="27.75" customHeight="1" thickTop="1" thickBot="1" x14ac:dyDescent="0.35">
      <c r="B53" s="443"/>
      <c r="C53" s="141"/>
      <c r="D53" s="485"/>
      <c r="E53" s="429" t="s">
        <v>108</v>
      </c>
      <c r="F53" s="526" t="s">
        <v>457</v>
      </c>
      <c r="G53" s="527" t="s">
        <v>287</v>
      </c>
      <c r="H53" s="455" t="s">
        <v>60</v>
      </c>
      <c r="I53" s="884" t="s">
        <v>297</v>
      </c>
      <c r="J53" s="467"/>
      <c r="K53" s="467"/>
      <c r="L53" s="467"/>
      <c r="M53" s="467"/>
      <c r="N53" s="874"/>
      <c r="O53" s="136"/>
    </row>
    <row r="54" spans="2:15" ht="51" customHeight="1" thickTop="1" thickBot="1" x14ac:dyDescent="0.35">
      <c r="B54" s="444">
        <v>11</v>
      </c>
      <c r="C54" s="143"/>
      <c r="D54" s="1237" t="s">
        <v>458</v>
      </c>
      <c r="E54" s="1238"/>
      <c r="F54" s="1238"/>
      <c r="G54" s="1238"/>
      <c r="H54" s="1239"/>
      <c r="I54" s="1240" t="s">
        <v>188</v>
      </c>
      <c r="J54" s="1241"/>
      <c r="K54" s="1241"/>
      <c r="L54" s="1241"/>
      <c r="M54" s="1241"/>
      <c r="N54" s="1242"/>
      <c r="O54" s="136"/>
    </row>
    <row r="55" spans="2:15" ht="7.5" customHeight="1" thickTop="1" thickBot="1" x14ac:dyDescent="0.35">
      <c r="B55" s="421"/>
      <c r="C55" s="143"/>
      <c r="D55" s="144"/>
      <c r="E55" s="145"/>
      <c r="F55" s="146"/>
      <c r="G55" s="147"/>
      <c r="H55" s="143"/>
      <c r="I55" s="134"/>
      <c r="J55" s="134"/>
      <c r="K55" s="134"/>
      <c r="L55" s="134"/>
      <c r="M55" s="134"/>
      <c r="N55" s="134"/>
      <c r="O55" s="136"/>
    </row>
    <row r="56" spans="2:15" ht="13.5" customHeight="1" thickTop="1" thickBot="1" x14ac:dyDescent="0.35">
      <c r="B56" s="421"/>
      <c r="C56" s="143"/>
      <c r="D56" s="148" t="s">
        <v>189</v>
      </c>
      <c r="E56" s="149"/>
      <c r="F56" s="150"/>
      <c r="G56" s="135"/>
      <c r="H56" s="134"/>
      <c r="I56" s="134"/>
      <c r="J56" s="134"/>
      <c r="K56" s="134"/>
      <c r="L56" s="134"/>
      <c r="M56" s="134"/>
      <c r="N56" s="134"/>
      <c r="O56" s="134"/>
    </row>
    <row r="57" spans="2:15" ht="15.9" thickTop="1" thickBot="1" x14ac:dyDescent="0.35">
      <c r="B57" s="422"/>
      <c r="C57" s="431"/>
      <c r="D57" s="431"/>
      <c r="E57" s="432"/>
      <c r="F57" s="431"/>
      <c r="G57" s="433"/>
      <c r="H57" s="431"/>
      <c r="I57" s="431"/>
      <c r="J57" s="431"/>
      <c r="K57" s="431"/>
      <c r="L57" s="434"/>
      <c r="M57" s="134"/>
      <c r="N57" s="134"/>
      <c r="O57" s="134"/>
    </row>
    <row r="58" spans="2:15" ht="15.9" thickTop="1" x14ac:dyDescent="0.3"/>
    <row r="59" spans="2:15" x14ac:dyDescent="0.4">
      <c r="H59" s="489"/>
    </row>
  </sheetData>
  <sheetProtection algorithmName="SHA-512" hashValue="SeS3XvwfwvEGkdEr+HstwRIJ2fkXxrvQQfGewY7G9+5khwg6v47+iJDm5IZih9n4B5OVdElMZL3jzLQmo/w2XQ==" saltValue="iCx/SfIDJQu+1Xl7+QUJpw==" spinCount="100000" sheet="1" objects="1" scenarios="1"/>
  <mergeCells count="19">
    <mergeCell ref="I22:N22"/>
    <mergeCell ref="D43:D44"/>
    <mergeCell ref="I46:M46"/>
    <mergeCell ref="I50:M50"/>
    <mergeCell ref="L24:N24"/>
    <mergeCell ref="I29:N29"/>
    <mergeCell ref="I31:N31"/>
    <mergeCell ref="I30:N30"/>
    <mergeCell ref="I54:N54"/>
    <mergeCell ref="I33:M33"/>
    <mergeCell ref="I38:M38"/>
    <mergeCell ref="D41:D42"/>
    <mergeCell ref="D39:D40"/>
    <mergeCell ref="I41:N42"/>
    <mergeCell ref="D11:D12"/>
    <mergeCell ref="D13:D14"/>
    <mergeCell ref="E13:E14"/>
    <mergeCell ref="F13:F14"/>
    <mergeCell ref="D54:H54"/>
  </mergeCells>
  <phoneticPr fontId="0" type="noConversion"/>
  <pageMargins left="0.27559055118110237" right="0.27559055118110237" top="0.31496062992125984" bottom="0.31496062992125984" header="0" footer="0"/>
  <pageSetup paperSize="9" scale="5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lha9">
    <tabColor indexed="53"/>
  </sheetPr>
  <dimension ref="B1:O57"/>
  <sheetViews>
    <sheetView showGridLines="0" showRowColHeaders="0" zoomScale="110" zoomScaleNormal="110" workbookViewId="0"/>
  </sheetViews>
  <sheetFormatPr defaultColWidth="9.15234375" defaultRowHeight="15.45" x14ac:dyDescent="0.3"/>
  <cols>
    <col min="1" max="1" width="1.15234375" style="124" customWidth="1"/>
    <col min="2" max="2" width="7.69140625" style="125" customWidth="1"/>
    <col min="3" max="3" width="1" style="124" customWidth="1"/>
    <col min="4" max="4" width="48.3046875" style="124" customWidth="1"/>
    <col min="5" max="5" width="4.3828125" style="126" bestFit="1" customWidth="1"/>
    <col min="6" max="6" width="25.3828125" style="124" customWidth="1"/>
    <col min="7" max="7" width="10.53515625" style="127" customWidth="1"/>
    <col min="8" max="8" width="9" style="124" customWidth="1"/>
    <col min="9" max="9" width="8.3828125" style="124" customWidth="1"/>
    <col min="10" max="10" width="10.3828125" style="124" customWidth="1"/>
    <col min="11" max="11" width="10.15234375" style="124" customWidth="1"/>
    <col min="12" max="12" width="13.15234375" style="124" customWidth="1"/>
    <col min="13" max="13" width="7.53515625" style="124" customWidth="1"/>
    <col min="14" max="14" width="18" style="124" customWidth="1"/>
    <col min="15" max="15" width="1" style="124" customWidth="1"/>
    <col min="16" max="16" width="1.15234375" style="124" customWidth="1"/>
    <col min="17" max="17" width="8.69140625" style="124" customWidth="1"/>
    <col min="18" max="16384" width="9.15234375" style="124"/>
  </cols>
  <sheetData>
    <row r="1" spans="2:15" ht="5.25" customHeight="1" x14ac:dyDescent="0.3"/>
    <row r="2" spans="2:15" x14ac:dyDescent="0.3">
      <c r="B2" s="128"/>
      <c r="C2" s="129"/>
    </row>
    <row r="3" spans="2:15" x14ac:dyDescent="0.3">
      <c r="B3" s="128"/>
      <c r="C3" s="129"/>
    </row>
    <row r="4" spans="2:15" x14ac:dyDescent="0.3">
      <c r="B4" s="128"/>
      <c r="C4" s="129"/>
    </row>
    <row r="5" spans="2:15" ht="57.75" customHeight="1" x14ac:dyDescent="0.3">
      <c r="B5" s="128"/>
      <c r="C5" s="129"/>
    </row>
    <row r="6" spans="2:15" ht="4.5" customHeight="1" x14ac:dyDescent="0.3">
      <c r="B6" s="124"/>
      <c r="E6" s="124"/>
      <c r="G6" s="124"/>
    </row>
    <row r="7" spans="2:15" ht="7.5" customHeight="1" x14ac:dyDescent="0.3">
      <c r="B7" s="130"/>
      <c r="C7" s="130"/>
      <c r="D7" s="130"/>
      <c r="E7" s="130"/>
      <c r="F7" s="130"/>
      <c r="G7" s="130"/>
      <c r="H7" s="131"/>
    </row>
    <row r="8" spans="2:15" ht="18.75" customHeight="1" thickBot="1" x14ac:dyDescent="0.35">
      <c r="B8" s="419" t="s">
        <v>147</v>
      </c>
      <c r="C8" s="420"/>
      <c r="D8" s="419" t="s">
        <v>148</v>
      </c>
      <c r="E8" s="419" t="s">
        <v>149</v>
      </c>
      <c r="F8" s="419" t="s">
        <v>150</v>
      </c>
      <c r="G8" s="423" t="s">
        <v>151</v>
      </c>
      <c r="H8" s="423" t="s">
        <v>152</v>
      </c>
      <c r="I8" s="424" t="s">
        <v>153</v>
      </c>
      <c r="J8" s="425"/>
      <c r="K8" s="425"/>
      <c r="L8" s="418"/>
      <c r="M8" s="418"/>
      <c r="N8" s="418"/>
      <c r="O8" s="418"/>
    </row>
    <row r="9" spans="2:15" ht="6.75" customHeight="1" thickTop="1" thickBot="1" x14ac:dyDescent="0.35">
      <c r="B9" s="421"/>
      <c r="C9" s="132"/>
      <c r="D9" s="133"/>
      <c r="E9" s="435"/>
      <c r="F9" s="134"/>
      <c r="G9" s="135"/>
      <c r="H9" s="134"/>
      <c r="I9" s="134"/>
      <c r="J9" s="134"/>
      <c r="K9" s="134"/>
      <c r="L9" s="134"/>
      <c r="M9" s="134"/>
      <c r="N9" s="134"/>
      <c r="O9" s="136"/>
    </row>
    <row r="10" spans="2:15" s="137" customFormat="1" ht="15" customHeight="1" thickTop="1" thickBot="1" x14ac:dyDescent="0.35">
      <c r="B10" s="436">
        <v>0</v>
      </c>
      <c r="C10" s="138"/>
      <c r="D10" s="447" t="s">
        <v>407</v>
      </c>
      <c r="E10" s="427"/>
      <c r="F10" s="446"/>
      <c r="G10" s="448"/>
      <c r="H10" s="449"/>
      <c r="I10" s="857"/>
      <c r="J10" s="450"/>
      <c r="K10" s="450"/>
      <c r="L10" s="450"/>
      <c r="M10" s="450"/>
      <c r="N10" s="858"/>
      <c r="O10" s="139"/>
    </row>
    <row r="11" spans="2:15" s="137" customFormat="1" ht="24" thickTop="1" thickBot="1" x14ac:dyDescent="0.35">
      <c r="B11" s="437"/>
      <c r="C11" s="138"/>
      <c r="D11" s="1231" t="s">
        <v>154</v>
      </c>
      <c r="E11" s="428" t="s">
        <v>155</v>
      </c>
      <c r="F11" s="451" t="s">
        <v>156</v>
      </c>
      <c r="G11" s="452" t="s">
        <v>157</v>
      </c>
      <c r="H11" s="453"/>
      <c r="I11" s="859" t="s">
        <v>478</v>
      </c>
      <c r="J11" s="454"/>
      <c r="K11" s="454"/>
      <c r="L11" s="454"/>
      <c r="M11" s="454"/>
      <c r="N11" s="860"/>
      <c r="O11" s="139"/>
    </row>
    <row r="12" spans="2:15" s="137" customFormat="1" ht="12.75" customHeight="1" thickTop="1" thickBot="1" x14ac:dyDescent="0.35">
      <c r="B12" s="437"/>
      <c r="C12" s="138"/>
      <c r="D12" s="1232"/>
      <c r="E12" s="520"/>
      <c r="F12" s="521"/>
      <c r="G12" s="565"/>
      <c r="H12" s="523"/>
      <c r="I12" s="861"/>
      <c r="J12" s="563"/>
      <c r="K12" s="563"/>
      <c r="L12" s="563"/>
      <c r="M12" s="563"/>
      <c r="N12" s="862"/>
      <c r="O12" s="139"/>
    </row>
    <row r="13" spans="2:15" s="137" customFormat="1" ht="18.45" thickTop="1" thickBot="1" x14ac:dyDescent="0.35">
      <c r="B13" s="437"/>
      <c r="C13" s="138"/>
      <c r="D13" s="1231" t="s">
        <v>158</v>
      </c>
      <c r="E13" s="1287" t="s">
        <v>115</v>
      </c>
      <c r="F13" s="1288" t="s">
        <v>159</v>
      </c>
      <c r="G13" s="561" t="s">
        <v>82</v>
      </c>
      <c r="H13" s="453"/>
      <c r="I13" s="859" t="s">
        <v>479</v>
      </c>
      <c r="J13" s="454"/>
      <c r="K13" s="454"/>
      <c r="L13" s="454"/>
      <c r="M13" s="454"/>
      <c r="N13" s="860"/>
      <c r="O13" s="139"/>
    </row>
    <row r="14" spans="2:15" s="137" customFormat="1" ht="12.75" customHeight="1" thickTop="1" thickBot="1" x14ac:dyDescent="0.35">
      <c r="B14" s="437"/>
      <c r="C14" s="138"/>
      <c r="D14" s="1232"/>
      <c r="E14" s="1234"/>
      <c r="F14" s="1236"/>
      <c r="G14" s="452"/>
      <c r="H14" s="453"/>
      <c r="I14" s="863" t="s">
        <v>480</v>
      </c>
      <c r="J14" s="459"/>
      <c r="K14" s="454"/>
      <c r="L14" s="454"/>
      <c r="M14" s="454"/>
      <c r="N14" s="860"/>
      <c r="O14" s="139"/>
    </row>
    <row r="15" spans="2:15" s="137" customFormat="1" ht="13.5" customHeight="1" thickTop="1" thickBot="1" x14ac:dyDescent="0.35">
      <c r="B15" s="437"/>
      <c r="C15" s="138"/>
      <c r="D15" s="477"/>
      <c r="E15" s="428"/>
      <c r="F15" s="460"/>
      <c r="G15" s="452"/>
      <c r="H15" s="453"/>
      <c r="I15" s="863" t="s">
        <v>481</v>
      </c>
      <c r="J15" s="461"/>
      <c r="K15" s="454"/>
      <c r="L15" s="454"/>
      <c r="M15" s="454"/>
      <c r="N15" s="860"/>
      <c r="O15" s="139"/>
    </row>
    <row r="16" spans="2:15" s="137" customFormat="1" ht="15.75" customHeight="1" thickTop="1" thickBot="1" x14ac:dyDescent="0.35">
      <c r="B16" s="438"/>
      <c r="C16" s="138"/>
      <c r="D16" s="477"/>
      <c r="E16" s="429"/>
      <c r="F16" s="472"/>
      <c r="G16" s="487"/>
      <c r="H16" s="455"/>
      <c r="I16" s="899" t="s">
        <v>482</v>
      </c>
      <c r="J16" s="488"/>
      <c r="K16" s="456"/>
      <c r="L16" s="456"/>
      <c r="M16" s="456"/>
      <c r="N16" s="864"/>
      <c r="O16" s="139"/>
    </row>
    <row r="17" spans="2:15" s="137" customFormat="1" ht="15.75" customHeight="1" thickTop="1" thickBot="1" x14ac:dyDescent="0.35">
      <c r="B17" s="439">
        <v>1</v>
      </c>
      <c r="C17" s="138"/>
      <c r="D17" s="447" t="s">
        <v>408</v>
      </c>
      <c r="E17" s="427" t="s">
        <v>83</v>
      </c>
      <c r="F17" s="470" t="s">
        <v>406</v>
      </c>
      <c r="G17" s="448" t="s">
        <v>79</v>
      </c>
      <c r="H17" s="449" t="s">
        <v>277</v>
      </c>
      <c r="I17" s="865">
        <v>9054</v>
      </c>
      <c r="J17" s="450" t="s">
        <v>160</v>
      </c>
      <c r="K17" s="551">
        <v>22254</v>
      </c>
      <c r="L17" s="450" t="s">
        <v>285</v>
      </c>
      <c r="M17" s="551">
        <v>3740</v>
      </c>
      <c r="N17" s="858" t="s">
        <v>286</v>
      </c>
      <c r="O17" s="139"/>
    </row>
    <row r="18" spans="2:15" s="137" customFormat="1" ht="16.5" customHeight="1" thickTop="1" thickBot="1" x14ac:dyDescent="0.35">
      <c r="B18" s="439"/>
      <c r="C18" s="138"/>
      <c r="D18" s="478" t="s">
        <v>412</v>
      </c>
      <c r="E18" s="532" t="s">
        <v>84</v>
      </c>
      <c r="F18" s="544" t="s">
        <v>112</v>
      </c>
      <c r="G18" s="547" t="s">
        <v>80</v>
      </c>
      <c r="H18" s="548"/>
      <c r="I18" s="553">
        <v>0.65</v>
      </c>
      <c r="J18" s="536" t="s">
        <v>160</v>
      </c>
      <c r="K18" s="554">
        <v>1.55</v>
      </c>
      <c r="L18" s="536" t="s">
        <v>285</v>
      </c>
      <c r="M18" s="554">
        <v>0.55000000000000004</v>
      </c>
      <c r="N18" s="866" t="s">
        <v>286</v>
      </c>
      <c r="O18" s="139"/>
    </row>
    <row r="19" spans="2:15" s="137" customFormat="1" ht="18" customHeight="1" thickTop="1" thickBot="1" x14ac:dyDescent="0.35">
      <c r="B19" s="439"/>
      <c r="C19" s="138"/>
      <c r="D19" s="478"/>
      <c r="E19" s="532" t="s">
        <v>85</v>
      </c>
      <c r="F19" s="544" t="s">
        <v>113</v>
      </c>
      <c r="G19" s="547" t="s">
        <v>81</v>
      </c>
      <c r="H19" s="548"/>
      <c r="I19" s="562">
        <v>0.62</v>
      </c>
      <c r="J19" s="563" t="s">
        <v>160</v>
      </c>
      <c r="K19" s="564">
        <v>1.1599999999999999</v>
      </c>
      <c r="L19" s="563" t="s">
        <v>285</v>
      </c>
      <c r="M19" s="564">
        <v>0.55000000000000004</v>
      </c>
      <c r="N19" s="862" t="s">
        <v>286</v>
      </c>
      <c r="O19" s="139"/>
    </row>
    <row r="20" spans="2:15" s="137" customFormat="1" ht="24" thickTop="1" thickBot="1" x14ac:dyDescent="0.35">
      <c r="B20" s="439"/>
      <c r="C20" s="138"/>
      <c r="D20" s="478" t="s">
        <v>413</v>
      </c>
      <c r="E20" s="532" t="s">
        <v>161</v>
      </c>
      <c r="F20" s="533" t="s">
        <v>472</v>
      </c>
      <c r="G20" s="547" t="s">
        <v>53</v>
      </c>
      <c r="H20" s="549" t="s">
        <v>55</v>
      </c>
      <c r="I20" s="552" t="s">
        <v>162</v>
      </c>
      <c r="J20" s="454"/>
      <c r="K20" s="454"/>
      <c r="L20" s="454"/>
      <c r="M20" s="454"/>
      <c r="N20" s="860"/>
      <c r="O20" s="139"/>
    </row>
    <row r="21" spans="2:15" s="137" customFormat="1" ht="18.45" thickTop="1" thickBot="1" x14ac:dyDescent="0.35">
      <c r="B21" s="439"/>
      <c r="C21" s="138"/>
      <c r="D21" s="478"/>
      <c r="E21" s="532" t="s">
        <v>163</v>
      </c>
      <c r="F21" s="544" t="s">
        <v>405</v>
      </c>
      <c r="G21" s="547" t="s">
        <v>54</v>
      </c>
      <c r="H21" s="535" t="s">
        <v>164</v>
      </c>
      <c r="I21" s="465"/>
      <c r="J21" s="454"/>
      <c r="K21" s="454"/>
      <c r="L21" s="454"/>
      <c r="M21" s="454"/>
      <c r="N21" s="860"/>
      <c r="O21" s="139"/>
    </row>
    <row r="22" spans="2:15" s="137" customFormat="1" ht="27" customHeight="1" thickTop="1" thickBot="1" x14ac:dyDescent="0.35">
      <c r="B22" s="439"/>
      <c r="C22" s="138"/>
      <c r="D22" s="479" t="s">
        <v>414</v>
      </c>
      <c r="E22" s="532" t="s">
        <v>86</v>
      </c>
      <c r="F22" s="544" t="s">
        <v>410</v>
      </c>
      <c r="G22" s="547" t="s">
        <v>165</v>
      </c>
      <c r="H22" s="535" t="s">
        <v>164</v>
      </c>
      <c r="I22" s="465"/>
      <c r="J22" s="466"/>
      <c r="K22" s="466"/>
      <c r="L22" s="466"/>
      <c r="M22" s="466"/>
      <c r="N22" s="867"/>
      <c r="O22" s="139"/>
    </row>
    <row r="23" spans="2:15" ht="30" customHeight="1" thickTop="1" thickBot="1" x14ac:dyDescent="0.35">
      <c r="B23" s="440"/>
      <c r="C23" s="140"/>
      <c r="D23" s="480"/>
      <c r="E23" s="532" t="s">
        <v>91</v>
      </c>
      <c r="F23" s="544" t="s">
        <v>411</v>
      </c>
      <c r="G23" s="547" t="s">
        <v>166</v>
      </c>
      <c r="H23" s="535" t="s">
        <v>164</v>
      </c>
      <c r="I23" s="1256" t="s">
        <v>466</v>
      </c>
      <c r="J23" s="1257"/>
      <c r="K23" s="1257"/>
      <c r="L23" s="1257"/>
      <c r="M23" s="1257"/>
      <c r="N23" s="1258"/>
      <c r="O23" s="136"/>
    </row>
    <row r="24" spans="2:15" ht="35.6" thickTop="1" thickBot="1" x14ac:dyDescent="0.35">
      <c r="B24" s="440"/>
      <c r="C24" s="141"/>
      <c r="D24" s="480"/>
      <c r="E24" s="532" t="s">
        <v>167</v>
      </c>
      <c r="F24" s="544" t="s">
        <v>168</v>
      </c>
      <c r="G24" s="550" t="s">
        <v>169</v>
      </c>
      <c r="H24" s="535" t="s">
        <v>164</v>
      </c>
      <c r="I24" s="844"/>
      <c r="J24" s="524"/>
      <c r="K24" s="524"/>
      <c r="L24" s="524"/>
      <c r="M24" s="524"/>
      <c r="N24" s="868"/>
      <c r="O24" s="136"/>
    </row>
    <row r="25" spans="2:15" ht="44.25" customHeight="1" thickTop="1" thickBot="1" x14ac:dyDescent="0.35">
      <c r="B25" s="440"/>
      <c r="C25" s="142"/>
      <c r="D25" s="481" t="s">
        <v>170</v>
      </c>
      <c r="E25" s="429" t="s">
        <v>89</v>
      </c>
      <c r="F25" s="543" t="s">
        <v>171</v>
      </c>
      <c r="G25" s="546" t="s">
        <v>172</v>
      </c>
      <c r="H25" s="455" t="s">
        <v>164</v>
      </c>
      <c r="I25" s="869"/>
      <c r="J25" s="467"/>
      <c r="K25" s="467"/>
      <c r="L25" s="1264" t="s">
        <v>173</v>
      </c>
      <c r="M25" s="1265"/>
      <c r="N25" s="1266"/>
      <c r="O25" s="136"/>
    </row>
    <row r="26" spans="2:15" ht="27" customHeight="1" thickTop="1" thickBot="1" x14ac:dyDescent="0.35">
      <c r="B26" s="441">
        <v>2</v>
      </c>
      <c r="C26" s="132"/>
      <c r="D26" s="856" t="s">
        <v>490</v>
      </c>
      <c r="E26" s="427" t="s">
        <v>92</v>
      </c>
      <c r="F26" s="470" t="s">
        <v>416</v>
      </c>
      <c r="G26" s="458" t="s">
        <v>64</v>
      </c>
      <c r="H26" s="449" t="s">
        <v>164</v>
      </c>
      <c r="I26" s="464" t="s">
        <v>174</v>
      </c>
      <c r="J26" s="474"/>
      <c r="K26" s="474"/>
      <c r="L26" s="474"/>
      <c r="M26" s="474"/>
      <c r="N26" s="870"/>
      <c r="O26" s="136"/>
    </row>
    <row r="27" spans="2:15" ht="45.75" customHeight="1" thickTop="1" thickBot="1" x14ac:dyDescent="0.35">
      <c r="B27" s="442"/>
      <c r="C27" s="142"/>
      <c r="D27" s="493" t="s">
        <v>175</v>
      </c>
      <c r="E27" s="532" t="s">
        <v>176</v>
      </c>
      <c r="F27" s="544" t="s">
        <v>471</v>
      </c>
      <c r="G27" s="547" t="s">
        <v>64</v>
      </c>
      <c r="H27" s="535" t="s">
        <v>164</v>
      </c>
      <c r="I27" s="465"/>
      <c r="J27" s="466"/>
      <c r="K27" s="466"/>
      <c r="L27" s="466"/>
      <c r="M27" s="466"/>
      <c r="N27" s="867"/>
      <c r="O27" s="136"/>
    </row>
    <row r="28" spans="2:15" ht="43.5" customHeight="1" thickTop="1" thickBot="1" x14ac:dyDescent="0.35">
      <c r="B28" s="442"/>
      <c r="C28" s="142"/>
      <c r="D28" s="493" t="s">
        <v>177</v>
      </c>
      <c r="E28" s="532" t="s">
        <v>178</v>
      </c>
      <c r="F28" s="544" t="s">
        <v>471</v>
      </c>
      <c r="G28" s="547" t="s">
        <v>64</v>
      </c>
      <c r="H28" s="535" t="s">
        <v>164</v>
      </c>
      <c r="I28" s="845"/>
      <c r="J28" s="537"/>
      <c r="K28" s="537"/>
      <c r="L28" s="1292" t="s">
        <v>179</v>
      </c>
      <c r="M28" s="1292"/>
      <c r="N28" s="1293"/>
      <c r="O28" s="136"/>
    </row>
    <row r="29" spans="2:15" ht="47.25" customHeight="1" thickTop="1" thickBot="1" x14ac:dyDescent="0.35">
      <c r="B29" s="443"/>
      <c r="C29" s="142"/>
      <c r="D29" s="486" t="s">
        <v>180</v>
      </c>
      <c r="E29" s="428" t="s">
        <v>181</v>
      </c>
      <c r="F29" s="451" t="s">
        <v>471</v>
      </c>
      <c r="G29" s="561" t="s">
        <v>64</v>
      </c>
      <c r="H29" s="453" t="s">
        <v>164</v>
      </c>
      <c r="I29" s="465"/>
      <c r="J29" s="466"/>
      <c r="K29" s="466"/>
      <c r="L29" s="466"/>
      <c r="M29" s="466"/>
      <c r="N29" s="867"/>
      <c r="O29" s="136"/>
    </row>
    <row r="30" spans="2:15" ht="22.5" customHeight="1" thickTop="1" thickBot="1" x14ac:dyDescent="0.35">
      <c r="B30" s="440">
        <v>3</v>
      </c>
      <c r="C30" s="132"/>
      <c r="D30" s="1247" t="s">
        <v>182</v>
      </c>
      <c r="E30" s="427" t="s">
        <v>93</v>
      </c>
      <c r="F30" s="470" t="s">
        <v>183</v>
      </c>
      <c r="G30" s="471" t="s">
        <v>65</v>
      </c>
      <c r="H30" s="449" t="s">
        <v>27</v>
      </c>
      <c r="I30" s="1284" t="s">
        <v>174</v>
      </c>
      <c r="J30" s="1290"/>
      <c r="K30" s="1290"/>
      <c r="L30" s="1290"/>
      <c r="M30" s="1290"/>
      <c r="N30" s="1291"/>
      <c r="O30" s="136"/>
    </row>
    <row r="31" spans="2:15" ht="27" customHeight="1" thickTop="1" thickBot="1" x14ac:dyDescent="0.35">
      <c r="B31" s="440"/>
      <c r="C31" s="142"/>
      <c r="D31" s="1289"/>
      <c r="E31" s="532" t="s">
        <v>43</v>
      </c>
      <c r="F31" s="544" t="s">
        <v>184</v>
      </c>
      <c r="G31" s="545" t="s">
        <v>67</v>
      </c>
      <c r="H31" s="535" t="s">
        <v>27</v>
      </c>
      <c r="I31" s="1267" t="s">
        <v>204</v>
      </c>
      <c r="J31" s="1268"/>
      <c r="K31" s="1268"/>
      <c r="L31" s="1268"/>
      <c r="M31" s="1268"/>
      <c r="N31" s="1269"/>
      <c r="O31" s="136"/>
    </row>
    <row r="32" spans="2:15" ht="27.75" customHeight="1" thickTop="1" thickBot="1" x14ac:dyDescent="0.35">
      <c r="B32" s="440"/>
      <c r="C32" s="142"/>
      <c r="D32" s="481"/>
      <c r="E32" s="532" t="s">
        <v>94</v>
      </c>
      <c r="F32" s="544" t="s">
        <v>364</v>
      </c>
      <c r="G32" s="547" t="s">
        <v>463</v>
      </c>
      <c r="H32" s="535" t="s">
        <v>344</v>
      </c>
      <c r="I32" s="1267" t="s">
        <v>464</v>
      </c>
      <c r="J32" s="1273"/>
      <c r="K32" s="1273"/>
      <c r="L32" s="1273"/>
      <c r="M32" s="1273"/>
      <c r="N32" s="1274"/>
      <c r="O32" s="136"/>
    </row>
    <row r="33" spans="2:15" ht="24.75" customHeight="1" thickTop="1" thickBot="1" x14ac:dyDescent="0.35">
      <c r="B33" s="440"/>
      <c r="C33" s="142"/>
      <c r="D33" s="481"/>
      <c r="E33" s="532" t="s">
        <v>342</v>
      </c>
      <c r="F33" s="544" t="s">
        <v>347</v>
      </c>
      <c r="G33" s="545" t="s">
        <v>341</v>
      </c>
      <c r="H33" s="535" t="s">
        <v>27</v>
      </c>
      <c r="I33" s="1270" t="s">
        <v>461</v>
      </c>
      <c r="J33" s="1271"/>
      <c r="K33" s="1271"/>
      <c r="L33" s="1271"/>
      <c r="M33" s="1271"/>
      <c r="N33" s="1272"/>
      <c r="O33" s="136"/>
    </row>
    <row r="34" spans="2:15" ht="24" thickTop="1" thickBot="1" x14ac:dyDescent="0.35">
      <c r="B34" s="440"/>
      <c r="C34" s="141"/>
      <c r="D34" s="482" t="s">
        <v>185</v>
      </c>
      <c r="E34" s="429" t="s">
        <v>462</v>
      </c>
      <c r="F34" s="543" t="s">
        <v>422</v>
      </c>
      <c r="G34" s="473" t="s">
        <v>66</v>
      </c>
      <c r="H34" s="455" t="s">
        <v>27</v>
      </c>
      <c r="I34" s="871"/>
      <c r="J34" s="467"/>
      <c r="K34" s="849"/>
      <c r="L34" s="849"/>
      <c r="M34" s="849"/>
      <c r="N34" s="872"/>
      <c r="O34" s="136"/>
    </row>
    <row r="35" spans="2:15" ht="25.5" customHeight="1" thickTop="1" thickBot="1" x14ac:dyDescent="0.35">
      <c r="B35" s="441">
        <v>4</v>
      </c>
      <c r="C35" s="132"/>
      <c r="D35" s="846" t="s">
        <v>424</v>
      </c>
      <c r="E35" s="528" t="s">
        <v>97</v>
      </c>
      <c r="F35" s="542" t="s">
        <v>420</v>
      </c>
      <c r="G35" s="540" t="s">
        <v>95</v>
      </c>
      <c r="H35" s="531" t="s">
        <v>27</v>
      </c>
      <c r="I35" s="1243" t="s">
        <v>423</v>
      </c>
      <c r="J35" s="1244"/>
      <c r="K35" s="1244"/>
      <c r="L35" s="1244"/>
      <c r="M35" s="1244"/>
      <c r="N35" s="873"/>
      <c r="O35" s="136"/>
    </row>
    <row r="36" spans="2:15" ht="25.5" customHeight="1" thickTop="1" thickBot="1" x14ac:dyDescent="0.35">
      <c r="B36" s="443"/>
      <c r="C36" s="141"/>
      <c r="D36" s="850" t="s">
        <v>425</v>
      </c>
      <c r="E36" s="429" t="s">
        <v>98</v>
      </c>
      <c r="F36" s="543" t="s">
        <v>421</v>
      </c>
      <c r="G36" s="473" t="s">
        <v>96</v>
      </c>
      <c r="H36" s="455" t="s">
        <v>27</v>
      </c>
      <c r="I36" s="871"/>
      <c r="J36" s="467"/>
      <c r="K36" s="467"/>
      <c r="L36" s="467"/>
      <c r="M36" s="467"/>
      <c r="N36" s="874"/>
      <c r="O36" s="136"/>
    </row>
    <row r="37" spans="2:15" ht="21.75" customHeight="1" thickTop="1" thickBot="1" x14ac:dyDescent="0.35">
      <c r="B37" s="440">
        <v>5</v>
      </c>
      <c r="C37" s="132"/>
      <c r="D37" s="1280" t="s">
        <v>428</v>
      </c>
      <c r="E37" s="528" t="s">
        <v>198</v>
      </c>
      <c r="F37" s="542" t="s">
        <v>401</v>
      </c>
      <c r="G37" s="560" t="s">
        <v>37</v>
      </c>
      <c r="H37" s="531" t="s">
        <v>186</v>
      </c>
      <c r="I37" s="875"/>
      <c r="J37" s="541"/>
      <c r="K37" s="541"/>
      <c r="L37" s="541"/>
      <c r="M37" s="541"/>
      <c r="N37" s="873"/>
      <c r="O37" s="136"/>
    </row>
    <row r="38" spans="2:15" ht="17.25" customHeight="1" thickTop="1" thickBot="1" x14ac:dyDescent="0.35">
      <c r="B38" s="440"/>
      <c r="C38" s="132"/>
      <c r="D38" s="1281"/>
      <c r="E38" s="429" t="s">
        <v>123</v>
      </c>
      <c r="F38" s="526" t="s">
        <v>429</v>
      </c>
      <c r="G38" s="527" t="s">
        <v>298</v>
      </c>
      <c r="H38" s="455" t="s">
        <v>56</v>
      </c>
      <c r="I38" s="876" t="s">
        <v>299</v>
      </c>
      <c r="J38" s="467"/>
      <c r="K38" s="467"/>
      <c r="L38" s="467"/>
      <c r="M38" s="467"/>
      <c r="N38" s="874"/>
      <c r="O38" s="136"/>
    </row>
    <row r="39" spans="2:15" ht="28.5" customHeight="1" thickTop="1" thickBot="1" x14ac:dyDescent="0.35">
      <c r="B39" s="441">
        <v>6</v>
      </c>
      <c r="C39" s="132"/>
      <c r="D39" s="846" t="s">
        <v>473</v>
      </c>
      <c r="E39" s="528" t="s">
        <v>116</v>
      </c>
      <c r="F39" s="542" t="s">
        <v>418</v>
      </c>
      <c r="G39" s="540" t="s">
        <v>69</v>
      </c>
      <c r="H39" s="531" t="s">
        <v>26</v>
      </c>
      <c r="I39" s="875"/>
      <c r="J39" s="541"/>
      <c r="K39" s="541"/>
      <c r="L39" s="541"/>
      <c r="M39" s="541"/>
      <c r="N39" s="873"/>
      <c r="O39" s="136"/>
    </row>
    <row r="40" spans="2:15" ht="35.6" thickTop="1" thickBot="1" x14ac:dyDescent="0.35">
      <c r="B40" s="443"/>
      <c r="C40" s="141"/>
      <c r="D40" s="850" t="s">
        <v>432</v>
      </c>
      <c r="E40" s="429" t="s">
        <v>100</v>
      </c>
      <c r="F40" s="543" t="s">
        <v>419</v>
      </c>
      <c r="G40" s="473" t="s">
        <v>70</v>
      </c>
      <c r="H40" s="455" t="s">
        <v>26</v>
      </c>
      <c r="I40" s="1245" t="s">
        <v>493</v>
      </c>
      <c r="J40" s="1246"/>
      <c r="K40" s="1246"/>
      <c r="L40" s="1246"/>
      <c r="M40" s="1246"/>
      <c r="N40" s="874"/>
      <c r="O40" s="136"/>
    </row>
    <row r="41" spans="2:15" ht="27.75" customHeight="1" thickTop="1" thickBot="1" x14ac:dyDescent="0.35">
      <c r="B41" s="440">
        <v>7</v>
      </c>
      <c r="C41" s="132"/>
      <c r="D41" s="853" t="s">
        <v>433</v>
      </c>
      <c r="E41" s="430" t="s">
        <v>114</v>
      </c>
      <c r="F41" s="462" t="s">
        <v>431</v>
      </c>
      <c r="G41" s="469" t="s">
        <v>434</v>
      </c>
      <c r="H41" s="463" t="s">
        <v>56</v>
      </c>
      <c r="I41" s="877" t="s">
        <v>439</v>
      </c>
      <c r="J41" s="468"/>
      <c r="K41" s="468"/>
      <c r="L41" s="468"/>
      <c r="M41" s="468"/>
      <c r="N41" s="878"/>
      <c r="O41" s="136"/>
    </row>
    <row r="42" spans="2:15" ht="39.75" customHeight="1" thickTop="1" thickBot="1" x14ac:dyDescent="0.35">
      <c r="B42" s="441">
        <v>8</v>
      </c>
      <c r="C42" s="132"/>
      <c r="D42" s="1282" t="s">
        <v>474</v>
      </c>
      <c r="E42" s="427" t="s">
        <v>117</v>
      </c>
      <c r="F42" s="470" t="s">
        <v>442</v>
      </c>
      <c r="G42" s="471" t="s">
        <v>292</v>
      </c>
      <c r="H42" s="449" t="s">
        <v>56</v>
      </c>
      <c r="I42" s="1284" t="s">
        <v>477</v>
      </c>
      <c r="J42" s="1285"/>
      <c r="K42" s="1285"/>
      <c r="L42" s="1285"/>
      <c r="M42" s="1285"/>
      <c r="N42" s="1286"/>
      <c r="O42" s="136"/>
    </row>
    <row r="43" spans="2:15" ht="17.25" customHeight="1" thickTop="1" thickBot="1" x14ac:dyDescent="0.35">
      <c r="B43" s="442"/>
      <c r="C43" s="142"/>
      <c r="D43" s="1283"/>
      <c r="E43" s="428"/>
      <c r="F43" s="460"/>
      <c r="G43" s="514"/>
      <c r="H43" s="453"/>
      <c r="I43" s="1277"/>
      <c r="J43" s="1278"/>
      <c r="K43" s="1278"/>
      <c r="L43" s="1278"/>
      <c r="M43" s="1278"/>
      <c r="N43" s="1279"/>
      <c r="O43" s="136"/>
    </row>
    <row r="44" spans="2:15" ht="21.75" customHeight="1" thickTop="1" thickBot="1" x14ac:dyDescent="0.35">
      <c r="B44" s="442"/>
      <c r="C44" s="142"/>
      <c r="D44" s="1259" t="s">
        <v>476</v>
      </c>
      <c r="E44" s="516" t="s">
        <v>118</v>
      </c>
      <c r="F44" s="559" t="s">
        <v>443</v>
      </c>
      <c r="G44" s="518" t="s">
        <v>291</v>
      </c>
      <c r="H44" s="519" t="s">
        <v>56</v>
      </c>
      <c r="I44" s="465"/>
      <c r="J44" s="466"/>
      <c r="K44" s="466"/>
      <c r="L44" s="466"/>
      <c r="M44" s="466"/>
      <c r="N44" s="867"/>
      <c r="O44" s="136"/>
    </row>
    <row r="45" spans="2:15" ht="42.75" customHeight="1" thickTop="1" thickBot="1" x14ac:dyDescent="0.55000000000000004">
      <c r="B45" s="442"/>
      <c r="C45" s="142"/>
      <c r="D45" s="1259"/>
      <c r="E45" s="520"/>
      <c r="F45" s="521"/>
      <c r="G45" s="522"/>
      <c r="H45" s="523"/>
      <c r="I45" s="879" t="s">
        <v>294</v>
      </c>
      <c r="J45" s="524"/>
      <c r="K45" s="524"/>
      <c r="L45" s="524"/>
      <c r="M45" s="524"/>
      <c r="N45" s="868"/>
      <c r="O45" s="136"/>
    </row>
    <row r="46" spans="2:15" ht="30" customHeight="1" thickTop="1" thickBot="1" x14ac:dyDescent="0.35">
      <c r="B46" s="442"/>
      <c r="C46" s="142"/>
      <c r="D46" s="481" t="s">
        <v>446</v>
      </c>
      <c r="E46" s="428" t="s">
        <v>103</v>
      </c>
      <c r="F46" s="451" t="s">
        <v>444</v>
      </c>
      <c r="G46" s="514" t="s">
        <v>290</v>
      </c>
      <c r="H46" s="453" t="s">
        <v>56</v>
      </c>
      <c r="I46" s="880"/>
      <c r="J46" s="466"/>
      <c r="K46" s="466"/>
      <c r="L46" s="466"/>
      <c r="M46" s="466"/>
      <c r="N46" s="867"/>
      <c r="O46" s="136"/>
    </row>
    <row r="47" spans="2:15" ht="45.9" thickTop="1" thickBot="1" x14ac:dyDescent="0.35">
      <c r="B47" s="443"/>
      <c r="C47" s="141"/>
      <c r="D47" s="484" t="s">
        <v>448</v>
      </c>
      <c r="E47" s="429"/>
      <c r="F47" s="472"/>
      <c r="G47" s="475"/>
      <c r="H47" s="476"/>
      <c r="I47" s="1260" t="s">
        <v>494</v>
      </c>
      <c r="J47" s="1261"/>
      <c r="K47" s="1261"/>
      <c r="L47" s="1261"/>
      <c r="M47" s="1261"/>
      <c r="N47" s="874"/>
      <c r="O47" s="136"/>
    </row>
    <row r="48" spans="2:15" ht="26.25" customHeight="1" thickTop="1" thickBot="1" x14ac:dyDescent="0.35">
      <c r="B48" s="440">
        <v>9</v>
      </c>
      <c r="C48" s="132"/>
      <c r="D48" s="855" t="s">
        <v>449</v>
      </c>
      <c r="E48" s="427" t="s">
        <v>104</v>
      </c>
      <c r="F48" s="457" t="s">
        <v>452</v>
      </c>
      <c r="G48" s="525" t="s">
        <v>71</v>
      </c>
      <c r="H48" s="449" t="s">
        <v>56</v>
      </c>
      <c r="I48" s="881"/>
      <c r="J48" s="474"/>
      <c r="K48" s="474"/>
      <c r="L48" s="474"/>
      <c r="M48" s="474"/>
      <c r="N48" s="870"/>
      <c r="O48" s="136"/>
    </row>
    <row r="49" spans="2:15" ht="27.75" customHeight="1" thickTop="1" thickBot="1" x14ac:dyDescent="0.35">
      <c r="B49" s="440"/>
      <c r="C49" s="142"/>
      <c r="D49" s="854" t="s">
        <v>450</v>
      </c>
      <c r="E49" s="532" t="s">
        <v>119</v>
      </c>
      <c r="F49" s="533" t="s">
        <v>453</v>
      </c>
      <c r="G49" s="534" t="s">
        <v>289</v>
      </c>
      <c r="H49" s="535" t="s">
        <v>56</v>
      </c>
      <c r="I49" s="845"/>
      <c r="J49" s="537"/>
      <c r="K49" s="891"/>
      <c r="L49" s="891"/>
      <c r="M49" s="891"/>
      <c r="N49" s="892"/>
      <c r="O49" s="136"/>
    </row>
    <row r="50" spans="2:15" ht="30" customHeight="1" thickTop="1" thickBot="1" x14ac:dyDescent="0.35">
      <c r="B50" s="440"/>
      <c r="C50" s="142"/>
      <c r="D50" s="481"/>
      <c r="E50" s="532" t="s">
        <v>120</v>
      </c>
      <c r="F50" s="533" t="s">
        <v>454</v>
      </c>
      <c r="G50" s="534" t="s">
        <v>455</v>
      </c>
      <c r="H50" s="535" t="s">
        <v>56</v>
      </c>
      <c r="I50" s="883" t="s">
        <v>295</v>
      </c>
      <c r="J50" s="537"/>
      <c r="K50" s="524"/>
      <c r="L50" s="524"/>
      <c r="M50" s="524"/>
      <c r="N50" s="868"/>
      <c r="O50" s="136"/>
    </row>
    <row r="51" spans="2:15" ht="28.5" customHeight="1" thickTop="1" thickBot="1" x14ac:dyDescent="0.35">
      <c r="B51" s="440"/>
      <c r="C51" s="141"/>
      <c r="D51" s="482" t="s">
        <v>451</v>
      </c>
      <c r="E51" s="429" t="s">
        <v>121</v>
      </c>
      <c r="F51" s="526" t="s">
        <v>441</v>
      </c>
      <c r="G51" s="527" t="s">
        <v>445</v>
      </c>
      <c r="H51" s="455" t="s">
        <v>56</v>
      </c>
      <c r="I51" s="871"/>
      <c r="J51" s="467"/>
      <c r="K51" s="467"/>
      <c r="L51" s="467"/>
      <c r="M51" s="467"/>
      <c r="N51" s="874"/>
      <c r="O51" s="136"/>
    </row>
    <row r="52" spans="2:15" ht="27.75" customHeight="1" thickTop="1" thickBot="1" x14ac:dyDescent="0.35">
      <c r="B52" s="441">
        <v>10</v>
      </c>
      <c r="C52" s="143"/>
      <c r="D52" s="447" t="s">
        <v>460</v>
      </c>
      <c r="E52" s="528" t="s">
        <v>107</v>
      </c>
      <c r="F52" s="529" t="s">
        <v>456</v>
      </c>
      <c r="G52" s="530" t="s">
        <v>187</v>
      </c>
      <c r="H52" s="531" t="s">
        <v>60</v>
      </c>
      <c r="I52" s="875"/>
      <c r="J52" s="541"/>
      <c r="K52" s="541"/>
      <c r="L52" s="541"/>
      <c r="M52" s="541"/>
      <c r="N52" s="873"/>
      <c r="O52" s="136"/>
    </row>
    <row r="53" spans="2:15" ht="27.75" customHeight="1" thickTop="1" thickBot="1" x14ac:dyDescent="0.35">
      <c r="B53" s="443"/>
      <c r="C53" s="143"/>
      <c r="D53" s="482"/>
      <c r="E53" s="429" t="s">
        <v>122</v>
      </c>
      <c r="F53" s="526" t="s">
        <v>457</v>
      </c>
      <c r="G53" s="527" t="s">
        <v>288</v>
      </c>
      <c r="H53" s="455" t="s">
        <v>60</v>
      </c>
      <c r="I53" s="884" t="s">
        <v>296</v>
      </c>
      <c r="J53" s="467"/>
      <c r="K53" s="467"/>
      <c r="L53" s="467"/>
      <c r="M53" s="467"/>
      <c r="N53" s="874"/>
      <c r="O53" s="136"/>
    </row>
    <row r="54" spans="2:15" ht="54" customHeight="1" thickTop="1" thickBot="1" x14ac:dyDescent="0.35">
      <c r="B54" s="444">
        <v>11</v>
      </c>
      <c r="C54" s="143"/>
      <c r="D54" s="1237" t="s">
        <v>459</v>
      </c>
      <c r="E54" s="1238"/>
      <c r="F54" s="1238"/>
      <c r="G54" s="1238"/>
      <c r="H54" s="1239"/>
      <c r="I54" s="1240" t="s">
        <v>188</v>
      </c>
      <c r="J54" s="1275"/>
      <c r="K54" s="1275"/>
      <c r="L54" s="1275"/>
      <c r="M54" s="1275"/>
      <c r="N54" s="1276"/>
      <c r="O54" s="136"/>
    </row>
    <row r="55" spans="2:15" ht="2.25" customHeight="1" thickTop="1" thickBot="1" x14ac:dyDescent="0.35">
      <c r="B55" s="440"/>
      <c r="C55" s="143"/>
      <c r="D55" s="144"/>
      <c r="E55" s="145"/>
      <c r="F55" s="146"/>
      <c r="G55" s="147"/>
      <c r="H55" s="143"/>
      <c r="I55" s="134"/>
      <c r="J55" s="134"/>
      <c r="K55" s="134"/>
      <c r="L55" s="134"/>
      <c r="M55" s="134"/>
      <c r="N55" s="134"/>
      <c r="O55" s="136"/>
    </row>
    <row r="56" spans="2:15" ht="13.5" customHeight="1" thickTop="1" thickBot="1" x14ac:dyDescent="0.35">
      <c r="B56" s="440"/>
      <c r="C56" s="143"/>
      <c r="D56" s="148" t="s">
        <v>189</v>
      </c>
      <c r="E56" s="149"/>
      <c r="F56" s="150"/>
      <c r="G56" s="135"/>
      <c r="H56" s="134"/>
      <c r="I56" s="134"/>
      <c r="J56" s="134"/>
      <c r="K56" s="134"/>
      <c r="L56" s="134"/>
      <c r="M56" s="134"/>
      <c r="N56" s="134"/>
      <c r="O56" s="134"/>
    </row>
    <row r="57" spans="2:15" ht="18" thickTop="1" x14ac:dyDescent="0.3">
      <c r="B57" s="445"/>
      <c r="C57" s="431"/>
      <c r="D57" s="431"/>
      <c r="E57" s="432"/>
      <c r="F57" s="431"/>
      <c r="G57" s="433"/>
      <c r="H57" s="431"/>
      <c r="I57" s="431"/>
      <c r="J57" s="431"/>
      <c r="K57" s="431"/>
      <c r="L57" s="431"/>
    </row>
  </sheetData>
  <sheetProtection algorithmName="SHA-512" hashValue="AhAxS6SPDgAld1oBaX0x6Mq4fVyvzuZ9jzAvGABgPt7WDCByHHL4+JmMD0ATgsfAPtMr0UICk1vGIG8nHmpjQw==" saltValue="KFAeMkzFs5w3sEEuTJKgaQ==" spinCount="100000" sheet="1" objects="1" scenarios="1"/>
  <mergeCells count="22">
    <mergeCell ref="I33:N33"/>
    <mergeCell ref="I35:M35"/>
    <mergeCell ref="D30:D31"/>
    <mergeCell ref="I23:N23"/>
    <mergeCell ref="I32:N32"/>
    <mergeCell ref="I30:N30"/>
    <mergeCell ref="I31:N31"/>
    <mergeCell ref="L28:N28"/>
    <mergeCell ref="D11:D12"/>
    <mergeCell ref="D13:D14"/>
    <mergeCell ref="E13:E14"/>
    <mergeCell ref="F13:F14"/>
    <mergeCell ref="L25:N25"/>
    <mergeCell ref="D54:H54"/>
    <mergeCell ref="I54:N54"/>
    <mergeCell ref="I43:N43"/>
    <mergeCell ref="D37:D38"/>
    <mergeCell ref="D42:D43"/>
    <mergeCell ref="I42:N42"/>
    <mergeCell ref="I40:M40"/>
    <mergeCell ref="D44:D45"/>
    <mergeCell ref="I47:M47"/>
  </mergeCells>
  <phoneticPr fontId="0" type="noConversion"/>
  <pageMargins left="0.31496062992125984" right="0.27559055118110237" top="0.23622047244094491" bottom="0.23622047244094491" header="0" footer="0.23622047244094491"/>
  <pageSetup paperSize="9" scale="5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lha4">
    <tabColor indexed="53"/>
  </sheetPr>
  <dimension ref="B1:J30"/>
  <sheetViews>
    <sheetView showGridLines="0" showRowColHeaders="0" zoomScale="110" zoomScaleNormal="110" workbookViewId="0"/>
  </sheetViews>
  <sheetFormatPr defaultColWidth="9.15234375" defaultRowHeight="12.45" x14ac:dyDescent="0.3"/>
  <cols>
    <col min="1" max="1" width="13.3046875" style="2" customWidth="1"/>
    <col min="2" max="2" width="9.15234375" style="2"/>
    <col min="3" max="3" width="9" style="2" customWidth="1"/>
    <col min="4" max="4" width="4" style="2" customWidth="1"/>
    <col min="5" max="10" width="12.3046875" style="2" customWidth="1"/>
    <col min="11" max="11" width="2.3046875" style="2" customWidth="1"/>
    <col min="12" max="12" width="12.3046875" style="2" customWidth="1"/>
    <col min="13" max="16384" width="9.15234375" style="2"/>
  </cols>
  <sheetData>
    <row r="1" ht="46.2" customHeight="1" x14ac:dyDescent="0.3"/>
    <row r="22" spans="2:10" ht="12.9" thickBot="1" x14ac:dyDescent="0.35"/>
    <row r="23" spans="2:10" ht="20.25" customHeight="1" thickTop="1" thickBot="1" x14ac:dyDescent="0.4">
      <c r="B23" s="341"/>
      <c r="C23" s="341"/>
      <c r="D23" s="341"/>
      <c r="E23" s="411" t="s">
        <v>263</v>
      </c>
      <c r="F23" s="411" t="s">
        <v>264</v>
      </c>
      <c r="G23" s="411" t="s">
        <v>283</v>
      </c>
      <c r="H23" s="412" t="str">
        <f>"m.c.a."</f>
        <v>m.c.a.</v>
      </c>
      <c r="I23" s="411" t="s">
        <v>265</v>
      </c>
      <c r="J23" s="411" t="s">
        <v>266</v>
      </c>
    </row>
    <row r="24" spans="2:10" ht="21" customHeight="1" thickTop="1" thickBot="1" x14ac:dyDescent="0.35">
      <c r="B24" s="976"/>
      <c r="C24" s="414" t="s">
        <v>267</v>
      </c>
      <c r="D24" s="413" t="s">
        <v>268</v>
      </c>
      <c r="E24" s="342" t="s">
        <v>269</v>
      </c>
      <c r="F24" s="977" t="str">
        <f>IF($B24="","",$B24*0.01)</f>
        <v/>
      </c>
      <c r="G24" s="977" t="str">
        <f>IF($B24="","",$B24*0.0102)</f>
        <v/>
      </c>
      <c r="H24" s="977" t="str">
        <f>IF($B24="","",$B24*0.102)</f>
        <v/>
      </c>
      <c r="I24" s="977" t="str">
        <f>IF($B24="","",$B24*0.0987)</f>
        <v/>
      </c>
      <c r="J24" s="977" t="str">
        <f>IF($B24="","",$B24*0.145)</f>
        <v/>
      </c>
    </row>
    <row r="25" spans="2:10" ht="21" customHeight="1" thickTop="1" thickBot="1" x14ac:dyDescent="0.35">
      <c r="B25" s="976">
        <v>1</v>
      </c>
      <c r="C25" s="414" t="s">
        <v>270</v>
      </c>
      <c r="D25" s="413" t="s">
        <v>268</v>
      </c>
      <c r="E25" s="977">
        <f>IF($B25="","",$B25*100)</f>
        <v>100</v>
      </c>
      <c r="F25" s="342" t="s">
        <v>269</v>
      </c>
      <c r="G25" s="977">
        <f>IF($B25="","",$B25*1.0197)</f>
        <v>1.0197000000000001</v>
      </c>
      <c r="H25" s="977">
        <f>IF($B25="","",$B25*10.197)</f>
        <v>10.196999999999999</v>
      </c>
      <c r="I25" s="977">
        <f>IF($B25="","",$B25*0.987)</f>
        <v>0.98699999999999999</v>
      </c>
      <c r="J25" s="977">
        <f>IF($B25="","",$B25*14.505)</f>
        <v>14.505000000000001</v>
      </c>
    </row>
    <row r="26" spans="2:10" ht="21" customHeight="1" thickTop="1" thickBot="1" x14ac:dyDescent="0.35">
      <c r="B26" s="976"/>
      <c r="C26" s="414" t="s">
        <v>284</v>
      </c>
      <c r="D26" s="413" t="s">
        <v>268</v>
      </c>
      <c r="E26" s="977" t="str">
        <f>IF($B26="","",$B26*98.07)</f>
        <v/>
      </c>
      <c r="F26" s="977" t="str">
        <f>IF($B26="","",$B26*0.9807)</f>
        <v/>
      </c>
      <c r="G26" s="342" t="s">
        <v>269</v>
      </c>
      <c r="H26" s="977" t="str">
        <f>IF($B26="","",$B26*10)</f>
        <v/>
      </c>
      <c r="I26" s="977" t="str">
        <f>IF($B26="","",$B26*0.968)</f>
        <v/>
      </c>
      <c r="J26" s="977" t="str">
        <f>IF($B26="","",$B26*14.22)</f>
        <v/>
      </c>
    </row>
    <row r="27" spans="2:10" ht="21" customHeight="1" thickTop="1" thickBot="1" x14ac:dyDescent="0.35">
      <c r="B27" s="976"/>
      <c r="C27" s="414" t="str">
        <f>" m.c.a."</f>
        <v xml:space="preserve"> m.c.a.</v>
      </c>
      <c r="D27" s="413" t="s">
        <v>268</v>
      </c>
      <c r="E27" s="977" t="str">
        <f>IF($B27="","",$B27*9.807)</f>
        <v/>
      </c>
      <c r="F27" s="977" t="str">
        <f>IF($B27="","",$B27*0.09807)</f>
        <v/>
      </c>
      <c r="G27" s="977" t="str">
        <f>IF($B27="","",$B27*0.1)</f>
        <v/>
      </c>
      <c r="H27" s="342" t="s">
        <v>269</v>
      </c>
      <c r="I27" s="977" t="str">
        <f>IF($B27="","",$B27*0.09678)</f>
        <v/>
      </c>
      <c r="J27" s="977" t="str">
        <f>IF($B27="","",$B27*1.4225)</f>
        <v/>
      </c>
    </row>
    <row r="28" spans="2:10" ht="21" customHeight="1" thickTop="1" thickBot="1" x14ac:dyDescent="0.35">
      <c r="B28" s="976"/>
      <c r="C28" s="414" t="s">
        <v>271</v>
      </c>
      <c r="D28" s="413" t="s">
        <v>268</v>
      </c>
      <c r="E28" s="977" t="str">
        <f>IF($B28="","",$B28*101.325)</f>
        <v/>
      </c>
      <c r="F28" s="977" t="str">
        <f>IF($B28="","",$B28*1.01325)</f>
        <v/>
      </c>
      <c r="G28" s="977" t="str">
        <f>IF($B28="","",$B28*1.033)</f>
        <v/>
      </c>
      <c r="H28" s="977" t="str">
        <f>IF($B28="","",$B28*10.33)</f>
        <v/>
      </c>
      <c r="I28" s="342" t="s">
        <v>269</v>
      </c>
      <c r="J28" s="977" t="str">
        <f>IF($B28="","",$B28*14.652)</f>
        <v/>
      </c>
    </row>
    <row r="29" spans="2:10" ht="21" customHeight="1" thickTop="1" thickBot="1" x14ac:dyDescent="0.35">
      <c r="B29" s="976"/>
      <c r="C29" s="414" t="s">
        <v>272</v>
      </c>
      <c r="D29" s="413" t="s">
        <v>268</v>
      </c>
      <c r="E29" s="977" t="str">
        <f>IF($B29="","",$B29*6.895)</f>
        <v/>
      </c>
      <c r="F29" s="977" t="str">
        <f>IF($B29="","",$B29*0.06805)</f>
        <v/>
      </c>
      <c r="G29" s="977" t="str">
        <f>IF($B29="","",$B29*0.0703)</f>
        <v/>
      </c>
      <c r="H29" s="977" t="str">
        <f>IF($B29="","",$B29*0.703)</f>
        <v/>
      </c>
      <c r="I29" s="977" t="str">
        <f>IF($B29="","",$B29*0.06894)</f>
        <v/>
      </c>
      <c r="J29" s="342" t="s">
        <v>269</v>
      </c>
    </row>
    <row r="30" spans="2:10" ht="12.9" thickTop="1" x14ac:dyDescent="0.3"/>
  </sheetData>
  <sheetProtection algorithmName="SHA-512" hashValue="0usgft2s7Ckuoc8SIW1Jvw9qXABhAp3YUVvNejRsBGznF9yajCgCRym8/G5cqvxB9xZw2l742XF1wIoU4Nit3Q==" saltValue="TlrzxPIxSA9+QaPo6mvZBw==" spinCount="100000" sheet="1" objects="1" scenarios="1"/>
  <phoneticPr fontId="72" type="noConversion"/>
  <pageMargins left="0.74" right="0.66" top="1" bottom="1" header="0" footer="0"/>
  <pageSetup paperSize="9" scale="75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lha6"/>
  <dimension ref="B2:D109"/>
  <sheetViews>
    <sheetView showGridLines="0" showRowColHeaders="0" workbookViewId="0">
      <selection activeCell="I33" sqref="I33"/>
    </sheetView>
  </sheetViews>
  <sheetFormatPr defaultRowHeight="12.45" x14ac:dyDescent="0.3"/>
  <cols>
    <col min="1" max="1" width="5.15234375" customWidth="1"/>
    <col min="2" max="2" width="8.15234375" customWidth="1"/>
    <col min="3" max="3" width="13.53515625" customWidth="1"/>
    <col min="4" max="4" width="13.69140625" customWidth="1"/>
    <col min="6" max="6" width="4.3046875" customWidth="1"/>
    <col min="7" max="7" width="3" customWidth="1"/>
    <col min="8" max="8" width="15.15234375" customWidth="1"/>
    <col min="9" max="9" width="3.53515625" customWidth="1"/>
    <col min="10" max="10" width="4.84375" customWidth="1"/>
  </cols>
  <sheetData>
    <row r="2" spans="2:4" ht="17.600000000000001" x14ac:dyDescent="0.4">
      <c r="B2" s="5" t="s">
        <v>141</v>
      </c>
    </row>
    <row r="4" spans="2:4" ht="31.5" customHeight="1" thickBot="1" x14ac:dyDescent="0.35">
      <c r="B4" s="6" t="s">
        <v>30</v>
      </c>
      <c r="C4" s="1294" t="s">
        <v>31</v>
      </c>
      <c r="D4" s="1294"/>
    </row>
    <row r="5" spans="2:4" ht="12.9" thickTop="1" x14ac:dyDescent="0.3">
      <c r="B5" s="1"/>
      <c r="C5" s="14" t="s">
        <v>35</v>
      </c>
      <c r="D5" s="14" t="s">
        <v>36</v>
      </c>
    </row>
    <row r="6" spans="2:4" x14ac:dyDescent="0.3">
      <c r="B6" s="7">
        <v>0</v>
      </c>
      <c r="C6" s="8"/>
      <c r="D6" s="9"/>
    </row>
    <row r="7" spans="2:4" x14ac:dyDescent="0.3">
      <c r="B7" s="7">
        <v>1</v>
      </c>
      <c r="C7" s="8">
        <v>1</v>
      </c>
      <c r="D7" s="9">
        <v>1</v>
      </c>
    </row>
    <row r="8" spans="2:4" x14ac:dyDescent="0.3">
      <c r="B8" s="7">
        <v>2</v>
      </c>
      <c r="C8" s="8">
        <v>0.6</v>
      </c>
      <c r="D8" s="9">
        <v>0.7</v>
      </c>
    </row>
    <row r="9" spans="2:4" x14ac:dyDescent="0.3">
      <c r="B9" s="7">
        <v>3</v>
      </c>
      <c r="C9" s="8">
        <v>0.45</v>
      </c>
      <c r="D9" s="9">
        <v>0.6</v>
      </c>
    </row>
    <row r="10" spans="2:4" x14ac:dyDescent="0.3">
      <c r="B10" s="7">
        <v>4</v>
      </c>
      <c r="C10" s="8">
        <v>0.4</v>
      </c>
      <c r="D10" s="9">
        <v>0.55000000000000004</v>
      </c>
    </row>
    <row r="11" spans="2:4" x14ac:dyDescent="0.3">
      <c r="B11" s="7">
        <v>5</v>
      </c>
      <c r="C11" s="8">
        <v>0.4</v>
      </c>
      <c r="D11" s="9">
        <v>0.55000000000000004</v>
      </c>
    </row>
    <row r="12" spans="2:4" x14ac:dyDescent="0.3">
      <c r="B12" s="7">
        <v>6</v>
      </c>
      <c r="C12" s="8">
        <v>0.35</v>
      </c>
      <c r="D12" s="9">
        <v>0.5</v>
      </c>
    </row>
    <row r="13" spans="2:4" x14ac:dyDescent="0.3">
      <c r="B13" s="7">
        <v>7</v>
      </c>
      <c r="C13" s="8">
        <v>0.32</v>
      </c>
      <c r="D13" s="9">
        <v>0.48</v>
      </c>
    </row>
    <row r="14" spans="2:4" x14ac:dyDescent="0.3">
      <c r="B14" s="7">
        <v>8</v>
      </c>
      <c r="C14" s="8">
        <v>0.3</v>
      </c>
      <c r="D14" s="9">
        <v>0.45</v>
      </c>
    </row>
    <row r="15" spans="2:4" x14ac:dyDescent="0.3">
      <c r="B15" s="7">
        <v>9</v>
      </c>
      <c r="C15" s="8">
        <v>0.27</v>
      </c>
      <c r="D15" s="9">
        <v>0.45</v>
      </c>
    </row>
    <row r="16" spans="2:4" x14ac:dyDescent="0.3">
      <c r="B16" s="7">
        <v>10</v>
      </c>
      <c r="C16" s="8">
        <v>0.25</v>
      </c>
      <c r="D16" s="9">
        <v>0.45</v>
      </c>
    </row>
    <row r="17" spans="2:4" x14ac:dyDescent="0.3">
      <c r="B17" s="7">
        <v>11</v>
      </c>
      <c r="C17" s="8">
        <v>0.25</v>
      </c>
      <c r="D17" s="9">
        <v>0.45</v>
      </c>
    </row>
    <row r="18" spans="2:4" x14ac:dyDescent="0.3">
      <c r="B18" s="7">
        <v>12</v>
      </c>
      <c r="C18" s="8">
        <v>0.25</v>
      </c>
      <c r="D18" s="9">
        <v>0.45</v>
      </c>
    </row>
    <row r="19" spans="2:4" x14ac:dyDescent="0.3">
      <c r="B19" s="7">
        <v>13</v>
      </c>
      <c r="C19" s="8">
        <v>0.25</v>
      </c>
      <c r="D19" s="9">
        <v>0.45</v>
      </c>
    </row>
    <row r="20" spans="2:4" x14ac:dyDescent="0.3">
      <c r="B20" s="7">
        <v>14</v>
      </c>
      <c r="C20" s="8">
        <v>0.25</v>
      </c>
      <c r="D20" s="9">
        <v>0.45</v>
      </c>
    </row>
    <row r="21" spans="2:4" x14ac:dyDescent="0.3">
      <c r="B21" s="7">
        <v>15</v>
      </c>
      <c r="C21" s="8">
        <v>0.24</v>
      </c>
      <c r="D21" s="9">
        <v>0.43</v>
      </c>
    </row>
    <row r="22" spans="2:4" x14ac:dyDescent="0.3">
      <c r="B22" s="7">
        <v>16</v>
      </c>
      <c r="C22" s="8">
        <v>0.23</v>
      </c>
      <c r="D22" s="10">
        <v>0.43</v>
      </c>
    </row>
    <row r="23" spans="2:4" x14ac:dyDescent="0.3">
      <c r="B23" s="7">
        <v>17</v>
      </c>
      <c r="C23" s="8">
        <v>0.22</v>
      </c>
      <c r="D23" s="10">
        <v>0.42</v>
      </c>
    </row>
    <row r="24" spans="2:4" x14ac:dyDescent="0.3">
      <c r="B24" s="7">
        <v>18</v>
      </c>
      <c r="C24" s="8">
        <v>0.21</v>
      </c>
      <c r="D24" s="10">
        <v>0.41</v>
      </c>
    </row>
    <row r="25" spans="2:4" x14ac:dyDescent="0.3">
      <c r="B25" s="7">
        <v>19</v>
      </c>
      <c r="C25" s="8">
        <v>0.2</v>
      </c>
      <c r="D25" s="10">
        <v>0.4</v>
      </c>
    </row>
    <row r="26" spans="2:4" x14ac:dyDescent="0.3">
      <c r="B26" s="7">
        <v>20</v>
      </c>
      <c r="C26" s="8">
        <v>0.2</v>
      </c>
      <c r="D26" s="10">
        <v>0.4</v>
      </c>
    </row>
    <row r="27" spans="2:4" x14ac:dyDescent="0.3">
      <c r="B27" s="7">
        <v>21</v>
      </c>
      <c r="C27" s="8">
        <v>0.2</v>
      </c>
      <c r="D27" s="10">
        <v>0.4</v>
      </c>
    </row>
    <row r="28" spans="2:4" x14ac:dyDescent="0.3">
      <c r="B28" s="7">
        <v>22</v>
      </c>
      <c r="C28" s="8">
        <v>0.2</v>
      </c>
      <c r="D28" s="10">
        <v>0.4</v>
      </c>
    </row>
    <row r="29" spans="2:4" x14ac:dyDescent="0.3">
      <c r="B29" s="7">
        <v>23</v>
      </c>
      <c r="C29" s="8">
        <v>0.2</v>
      </c>
      <c r="D29" s="10">
        <v>0.4</v>
      </c>
    </row>
    <row r="30" spans="2:4" x14ac:dyDescent="0.3">
      <c r="B30" s="7">
        <v>24</v>
      </c>
      <c r="C30" s="8">
        <v>0.2</v>
      </c>
      <c r="D30" s="10">
        <v>0.4</v>
      </c>
    </row>
    <row r="31" spans="2:4" x14ac:dyDescent="0.3">
      <c r="B31" s="7">
        <v>25</v>
      </c>
      <c r="C31" s="8">
        <v>0.2</v>
      </c>
      <c r="D31" s="10">
        <v>0.4</v>
      </c>
    </row>
    <row r="32" spans="2:4" x14ac:dyDescent="0.3">
      <c r="B32" s="7">
        <v>26</v>
      </c>
      <c r="C32" s="8">
        <v>0.2</v>
      </c>
      <c r="D32" s="10">
        <v>0.4</v>
      </c>
    </row>
    <row r="33" spans="2:4" x14ac:dyDescent="0.3">
      <c r="B33" s="7">
        <v>27</v>
      </c>
      <c r="C33" s="8">
        <v>0.2</v>
      </c>
      <c r="D33" s="10">
        <v>0.4</v>
      </c>
    </row>
    <row r="34" spans="2:4" x14ac:dyDescent="0.3">
      <c r="B34" s="7">
        <v>28</v>
      </c>
      <c r="C34" s="8">
        <v>0.2</v>
      </c>
      <c r="D34" s="10">
        <v>0.4</v>
      </c>
    </row>
    <row r="35" spans="2:4" x14ac:dyDescent="0.3">
      <c r="B35" s="7">
        <v>29</v>
      </c>
      <c r="C35" s="8">
        <v>0.2</v>
      </c>
      <c r="D35" s="10">
        <v>0.4</v>
      </c>
    </row>
    <row r="36" spans="2:4" x14ac:dyDescent="0.3">
      <c r="B36" s="7">
        <v>30</v>
      </c>
      <c r="C36" s="8">
        <v>0.2</v>
      </c>
      <c r="D36" s="10">
        <v>0.4</v>
      </c>
    </row>
    <row r="37" spans="2:4" x14ac:dyDescent="0.3">
      <c r="B37" s="7">
        <v>31</v>
      </c>
      <c r="C37" s="8">
        <v>0.2</v>
      </c>
      <c r="D37" s="10">
        <v>0.4</v>
      </c>
    </row>
    <row r="38" spans="2:4" x14ac:dyDescent="0.3">
      <c r="B38" s="7">
        <v>32</v>
      </c>
      <c r="C38" s="8">
        <v>0.2</v>
      </c>
      <c r="D38" s="10">
        <v>0.4</v>
      </c>
    </row>
    <row r="39" spans="2:4" x14ac:dyDescent="0.3">
      <c r="B39" s="7">
        <v>33</v>
      </c>
      <c r="C39" s="8">
        <v>0.2</v>
      </c>
      <c r="D39" s="10">
        <v>0.4</v>
      </c>
    </row>
    <row r="40" spans="2:4" x14ac:dyDescent="0.3">
      <c r="B40" s="7">
        <v>34</v>
      </c>
      <c r="C40" s="8">
        <v>0.2</v>
      </c>
      <c r="D40" s="10">
        <v>0.4</v>
      </c>
    </row>
    <row r="41" spans="2:4" x14ac:dyDescent="0.3">
      <c r="B41" s="7">
        <v>35</v>
      </c>
      <c r="C41" s="8">
        <v>0.2</v>
      </c>
      <c r="D41" s="10">
        <v>0.4</v>
      </c>
    </row>
    <row r="42" spans="2:4" x14ac:dyDescent="0.3">
      <c r="B42" s="7">
        <v>36</v>
      </c>
      <c r="C42" s="8">
        <v>0.2</v>
      </c>
      <c r="D42" s="10">
        <v>0.4</v>
      </c>
    </row>
    <row r="43" spans="2:4" x14ac:dyDescent="0.3">
      <c r="B43" s="7">
        <v>37</v>
      </c>
      <c r="C43" s="8">
        <v>0.2</v>
      </c>
      <c r="D43" s="10">
        <v>0.4</v>
      </c>
    </row>
    <row r="44" spans="2:4" x14ac:dyDescent="0.3">
      <c r="B44" s="7">
        <v>38</v>
      </c>
      <c r="C44" s="8">
        <v>0.2</v>
      </c>
      <c r="D44" s="10">
        <v>0.4</v>
      </c>
    </row>
    <row r="45" spans="2:4" x14ac:dyDescent="0.3">
      <c r="B45" s="7">
        <v>39</v>
      </c>
      <c r="C45" s="8">
        <v>0.2</v>
      </c>
      <c r="D45" s="10">
        <v>0.4</v>
      </c>
    </row>
    <row r="46" spans="2:4" x14ac:dyDescent="0.3">
      <c r="B46" s="7">
        <v>40</v>
      </c>
      <c r="C46" s="8">
        <v>0.19900000000000001</v>
      </c>
      <c r="D46" s="10">
        <v>0.4</v>
      </c>
    </row>
    <row r="47" spans="2:4" x14ac:dyDescent="0.3">
      <c r="B47" s="7">
        <v>41</v>
      </c>
      <c r="C47" s="8">
        <v>0.19800000000000001</v>
      </c>
      <c r="D47" s="10">
        <v>0.39500000000000002</v>
      </c>
    </row>
    <row r="48" spans="2:4" x14ac:dyDescent="0.3">
      <c r="B48" s="7">
        <v>42</v>
      </c>
      <c r="C48" s="8">
        <v>0.19700000000000001</v>
      </c>
      <c r="D48" s="10">
        <v>0.39</v>
      </c>
    </row>
    <row r="49" spans="2:4" x14ac:dyDescent="0.3">
      <c r="B49" s="7">
        <v>43</v>
      </c>
      <c r="C49" s="8">
        <v>0.19600000000000001</v>
      </c>
      <c r="D49" s="10">
        <v>0.38500000000000001</v>
      </c>
    </row>
    <row r="50" spans="2:4" x14ac:dyDescent="0.3">
      <c r="B50" s="7">
        <v>44</v>
      </c>
      <c r="C50" s="11">
        <v>0.19500000000000001</v>
      </c>
      <c r="D50" s="10">
        <v>0.38</v>
      </c>
    </row>
    <row r="51" spans="2:4" x14ac:dyDescent="0.3">
      <c r="B51" s="7">
        <v>45</v>
      </c>
      <c r="C51" s="11">
        <v>0.19400000000000001</v>
      </c>
      <c r="D51" s="10">
        <v>0.375</v>
      </c>
    </row>
    <row r="52" spans="2:4" x14ac:dyDescent="0.3">
      <c r="B52" s="7">
        <v>46</v>
      </c>
      <c r="C52" s="11">
        <v>0.193</v>
      </c>
      <c r="D52" s="10">
        <v>0.37</v>
      </c>
    </row>
    <row r="53" spans="2:4" x14ac:dyDescent="0.3">
      <c r="B53" s="7">
        <v>47</v>
      </c>
      <c r="C53" s="11">
        <v>0.192</v>
      </c>
      <c r="D53" s="10">
        <v>0.36499999999999999</v>
      </c>
    </row>
    <row r="54" spans="2:4" x14ac:dyDescent="0.3">
      <c r="B54" s="7">
        <v>48</v>
      </c>
      <c r="C54" s="11">
        <v>0.191</v>
      </c>
      <c r="D54" s="10">
        <v>0.36</v>
      </c>
    </row>
    <row r="55" spans="2:4" x14ac:dyDescent="0.3">
      <c r="B55" s="7">
        <v>49</v>
      </c>
      <c r="C55" s="11">
        <v>0.19</v>
      </c>
      <c r="D55" s="10">
        <v>0.35499999999999998</v>
      </c>
    </row>
    <row r="56" spans="2:4" x14ac:dyDescent="0.3">
      <c r="B56" s="7">
        <v>50</v>
      </c>
      <c r="C56" s="11">
        <v>0.189</v>
      </c>
      <c r="D56" s="10">
        <v>0.35</v>
      </c>
    </row>
    <row r="57" spans="2:4" x14ac:dyDescent="0.3">
      <c r="B57" s="7">
        <v>51</v>
      </c>
      <c r="C57" s="8">
        <v>0.188</v>
      </c>
      <c r="D57" s="9">
        <v>0.35</v>
      </c>
    </row>
    <row r="58" spans="2:4" x14ac:dyDescent="0.3">
      <c r="B58" s="7">
        <v>52</v>
      </c>
      <c r="C58" s="8">
        <v>0.187</v>
      </c>
      <c r="D58" s="9">
        <v>0.35</v>
      </c>
    </row>
    <row r="59" spans="2:4" x14ac:dyDescent="0.3">
      <c r="B59" s="7">
        <v>53</v>
      </c>
      <c r="C59" s="8">
        <v>0.186</v>
      </c>
      <c r="D59" s="9">
        <v>0.35</v>
      </c>
    </row>
    <row r="60" spans="2:4" x14ac:dyDescent="0.3">
      <c r="B60" s="7">
        <v>54</v>
      </c>
      <c r="C60" s="8">
        <v>0.185</v>
      </c>
      <c r="D60" s="9">
        <v>0.35</v>
      </c>
    </row>
    <row r="61" spans="2:4" x14ac:dyDescent="0.3">
      <c r="B61" s="7">
        <v>55</v>
      </c>
      <c r="C61" s="8">
        <v>0.184</v>
      </c>
      <c r="D61" s="9">
        <v>0.35</v>
      </c>
    </row>
    <row r="62" spans="2:4" x14ac:dyDescent="0.3">
      <c r="B62" s="7">
        <v>56</v>
      </c>
      <c r="C62" s="8">
        <v>0.183</v>
      </c>
      <c r="D62" s="9">
        <v>0.35</v>
      </c>
    </row>
    <row r="63" spans="2:4" x14ac:dyDescent="0.3">
      <c r="B63" s="7">
        <v>57</v>
      </c>
      <c r="C63" s="8">
        <v>0.182</v>
      </c>
      <c r="D63" s="9">
        <v>0.35</v>
      </c>
    </row>
    <row r="64" spans="2:4" x14ac:dyDescent="0.3">
      <c r="B64" s="7">
        <v>58</v>
      </c>
      <c r="C64" s="8">
        <v>0.18099999999999999</v>
      </c>
      <c r="D64" s="9">
        <v>0.35</v>
      </c>
    </row>
    <row r="65" spans="2:4" x14ac:dyDescent="0.3">
      <c r="B65" s="7">
        <v>59</v>
      </c>
      <c r="C65" s="8">
        <v>0.18</v>
      </c>
      <c r="D65" s="9">
        <v>0.35</v>
      </c>
    </row>
    <row r="66" spans="2:4" x14ac:dyDescent="0.3">
      <c r="B66" s="7">
        <v>60</v>
      </c>
      <c r="C66" s="8">
        <v>0.17899999999999999</v>
      </c>
      <c r="D66" s="9">
        <v>0.35</v>
      </c>
    </row>
    <row r="67" spans="2:4" x14ac:dyDescent="0.3">
      <c r="B67" s="7">
        <v>61</v>
      </c>
      <c r="C67" s="8">
        <v>0.17799999999999999</v>
      </c>
      <c r="D67" s="9">
        <v>0.35</v>
      </c>
    </row>
    <row r="68" spans="2:4" x14ac:dyDescent="0.3">
      <c r="B68" s="7">
        <v>62</v>
      </c>
      <c r="C68" s="11">
        <v>0.17699999999999999</v>
      </c>
      <c r="D68" s="9">
        <v>0.35</v>
      </c>
    </row>
    <row r="69" spans="2:4" x14ac:dyDescent="0.3">
      <c r="B69" s="7">
        <v>63</v>
      </c>
      <c r="C69" s="8">
        <v>0.17599999999999999</v>
      </c>
      <c r="D69" s="9">
        <v>0.35</v>
      </c>
    </row>
    <row r="70" spans="2:4" x14ac:dyDescent="0.3">
      <c r="B70" s="7">
        <v>64</v>
      </c>
      <c r="C70" s="11">
        <v>0.17499999999999999</v>
      </c>
      <c r="D70" s="9">
        <v>0.35</v>
      </c>
    </row>
    <row r="71" spans="2:4" x14ac:dyDescent="0.3">
      <c r="B71" s="7">
        <v>65</v>
      </c>
      <c r="C71" s="8">
        <v>0.17399999999999999</v>
      </c>
      <c r="D71" s="9">
        <v>0.35</v>
      </c>
    </row>
    <row r="72" spans="2:4" x14ac:dyDescent="0.3">
      <c r="B72" s="7">
        <v>66</v>
      </c>
      <c r="C72" s="11">
        <v>0.17299999999999999</v>
      </c>
      <c r="D72" s="9">
        <v>0.35</v>
      </c>
    </row>
    <row r="73" spans="2:4" x14ac:dyDescent="0.3">
      <c r="B73" s="7">
        <v>67</v>
      </c>
      <c r="C73" s="8">
        <v>0.17199999999999999</v>
      </c>
      <c r="D73" s="9">
        <v>0.35</v>
      </c>
    </row>
    <row r="74" spans="2:4" x14ac:dyDescent="0.3">
      <c r="B74" s="7">
        <v>68</v>
      </c>
      <c r="C74" s="11">
        <v>0.17100000000000001</v>
      </c>
      <c r="D74" s="9">
        <v>0.35</v>
      </c>
    </row>
    <row r="75" spans="2:4" x14ac:dyDescent="0.3">
      <c r="B75" s="7">
        <v>69</v>
      </c>
      <c r="C75" s="8">
        <v>0.17</v>
      </c>
      <c r="D75" s="9">
        <v>0.35</v>
      </c>
    </row>
    <row r="76" spans="2:4" x14ac:dyDescent="0.3">
      <c r="B76" s="7">
        <v>70</v>
      </c>
      <c r="C76" s="11">
        <v>0.16900000000000001</v>
      </c>
      <c r="D76" s="9">
        <v>0.35</v>
      </c>
    </row>
    <row r="77" spans="2:4" x14ac:dyDescent="0.3">
      <c r="B77" s="7">
        <v>71</v>
      </c>
      <c r="C77" s="8">
        <v>0.16800000000000001</v>
      </c>
      <c r="D77" s="9">
        <v>0.35</v>
      </c>
    </row>
    <row r="78" spans="2:4" x14ac:dyDescent="0.3">
      <c r="B78" s="7">
        <v>72</v>
      </c>
      <c r="C78" s="11">
        <v>0.16700000000000001</v>
      </c>
      <c r="D78" s="9">
        <v>0.35</v>
      </c>
    </row>
    <row r="79" spans="2:4" x14ac:dyDescent="0.3">
      <c r="B79" s="7">
        <v>73</v>
      </c>
      <c r="C79" s="8">
        <v>0.16600000000000001</v>
      </c>
      <c r="D79" s="9">
        <v>0.35</v>
      </c>
    </row>
    <row r="80" spans="2:4" x14ac:dyDescent="0.3">
      <c r="B80" s="7">
        <v>74</v>
      </c>
      <c r="C80" s="11">
        <v>0.16500000000000001</v>
      </c>
      <c r="D80" s="9">
        <v>0.35</v>
      </c>
    </row>
    <row r="81" spans="2:4" x14ac:dyDescent="0.3">
      <c r="B81" s="7">
        <v>75</v>
      </c>
      <c r="C81" s="8">
        <v>0.16400000000000001</v>
      </c>
      <c r="D81" s="9">
        <v>0.35</v>
      </c>
    </row>
    <row r="82" spans="2:4" x14ac:dyDescent="0.3">
      <c r="B82" s="7">
        <v>76</v>
      </c>
      <c r="C82" s="11">
        <v>0.16300000000000001</v>
      </c>
      <c r="D82" s="9">
        <v>0.35</v>
      </c>
    </row>
    <row r="83" spans="2:4" x14ac:dyDescent="0.3">
      <c r="B83" s="7">
        <v>77</v>
      </c>
      <c r="C83" s="8">
        <v>0.16200000000000001</v>
      </c>
      <c r="D83" s="9">
        <v>0.35</v>
      </c>
    </row>
    <row r="84" spans="2:4" x14ac:dyDescent="0.3">
      <c r="B84" s="7">
        <v>78</v>
      </c>
      <c r="C84" s="11">
        <v>0.161</v>
      </c>
      <c r="D84" s="9">
        <v>0.35</v>
      </c>
    </row>
    <row r="85" spans="2:4" x14ac:dyDescent="0.3">
      <c r="B85" s="7">
        <v>79</v>
      </c>
      <c r="C85" s="8">
        <v>0.16</v>
      </c>
      <c r="D85" s="9">
        <v>0.35</v>
      </c>
    </row>
    <row r="86" spans="2:4" x14ac:dyDescent="0.3">
      <c r="B86" s="7">
        <v>80</v>
      </c>
      <c r="C86" s="11">
        <v>0.159</v>
      </c>
      <c r="D86" s="9">
        <v>0.35</v>
      </c>
    </row>
    <row r="87" spans="2:4" x14ac:dyDescent="0.3">
      <c r="B87" s="7">
        <v>81</v>
      </c>
      <c r="C87" s="8">
        <v>0.158</v>
      </c>
      <c r="D87" s="9">
        <v>0.35</v>
      </c>
    </row>
    <row r="88" spans="2:4" x14ac:dyDescent="0.3">
      <c r="B88" s="7">
        <v>82</v>
      </c>
      <c r="C88" s="11">
        <v>0.157</v>
      </c>
      <c r="D88" s="9">
        <v>0.35</v>
      </c>
    </row>
    <row r="89" spans="2:4" x14ac:dyDescent="0.3">
      <c r="B89" s="7">
        <v>83</v>
      </c>
      <c r="C89" s="8">
        <v>0.156</v>
      </c>
      <c r="D89" s="9">
        <v>0.35</v>
      </c>
    </row>
    <row r="90" spans="2:4" x14ac:dyDescent="0.3">
      <c r="B90" s="7">
        <v>84</v>
      </c>
      <c r="C90" s="11">
        <v>0.155</v>
      </c>
      <c r="D90" s="9">
        <v>0.35</v>
      </c>
    </row>
    <row r="91" spans="2:4" x14ac:dyDescent="0.3">
      <c r="B91" s="7">
        <v>85</v>
      </c>
      <c r="C91" s="8">
        <v>0.154</v>
      </c>
      <c r="D91" s="9">
        <v>0.35</v>
      </c>
    </row>
    <row r="92" spans="2:4" x14ac:dyDescent="0.3">
      <c r="B92" s="7">
        <v>86</v>
      </c>
      <c r="C92" s="11">
        <v>0.153</v>
      </c>
      <c r="D92" s="9">
        <v>0.35</v>
      </c>
    </row>
    <row r="93" spans="2:4" x14ac:dyDescent="0.3">
      <c r="B93" s="7">
        <v>87</v>
      </c>
      <c r="C93" s="8">
        <v>0.152</v>
      </c>
      <c r="D93" s="9">
        <v>0.35</v>
      </c>
    </row>
    <row r="94" spans="2:4" x14ac:dyDescent="0.3">
      <c r="B94" s="7">
        <v>88</v>
      </c>
      <c r="C94" s="11">
        <v>0.151</v>
      </c>
      <c r="D94" s="9">
        <v>0.35</v>
      </c>
    </row>
    <row r="95" spans="2:4" x14ac:dyDescent="0.3">
      <c r="B95" s="7">
        <v>89</v>
      </c>
      <c r="C95" s="8">
        <v>0.15</v>
      </c>
      <c r="D95" s="9">
        <v>0.35</v>
      </c>
    </row>
    <row r="96" spans="2:4" x14ac:dyDescent="0.3">
      <c r="B96" s="7">
        <v>90</v>
      </c>
      <c r="C96" s="8">
        <v>0.15</v>
      </c>
      <c r="D96" s="9">
        <v>0.35</v>
      </c>
    </row>
    <row r="97" spans="2:4" x14ac:dyDescent="0.3">
      <c r="B97" s="7">
        <v>91</v>
      </c>
      <c r="C97" s="8">
        <v>0.15</v>
      </c>
      <c r="D97" s="9">
        <v>0.35</v>
      </c>
    </row>
    <row r="98" spans="2:4" x14ac:dyDescent="0.3">
      <c r="B98" s="7">
        <v>92</v>
      </c>
      <c r="C98" s="8">
        <v>0.15</v>
      </c>
      <c r="D98" s="9">
        <v>0.35</v>
      </c>
    </row>
    <row r="99" spans="2:4" x14ac:dyDescent="0.3">
      <c r="B99" s="7">
        <v>93</v>
      </c>
      <c r="C99" s="8">
        <v>0.15</v>
      </c>
      <c r="D99" s="9">
        <v>0.35</v>
      </c>
    </row>
    <row r="100" spans="2:4" x14ac:dyDescent="0.3">
      <c r="B100" s="7">
        <v>94</v>
      </c>
      <c r="C100" s="8">
        <v>0.15</v>
      </c>
      <c r="D100" s="9">
        <v>0.35</v>
      </c>
    </row>
    <row r="101" spans="2:4" x14ac:dyDescent="0.3">
      <c r="B101" s="7">
        <v>95</v>
      </c>
      <c r="C101" s="8">
        <v>0.15</v>
      </c>
      <c r="D101" s="9">
        <v>0.35</v>
      </c>
    </row>
    <row r="102" spans="2:4" x14ac:dyDescent="0.3">
      <c r="B102" s="7">
        <v>96</v>
      </c>
      <c r="C102" s="8">
        <v>0.15</v>
      </c>
      <c r="D102" s="9">
        <v>0.35</v>
      </c>
    </row>
    <row r="103" spans="2:4" x14ac:dyDescent="0.3">
      <c r="B103" s="7">
        <v>97</v>
      </c>
      <c r="C103" s="8">
        <v>0.15</v>
      </c>
      <c r="D103" s="9">
        <v>0.35</v>
      </c>
    </row>
    <row r="104" spans="2:4" x14ac:dyDescent="0.3">
      <c r="B104" s="7">
        <v>98</v>
      </c>
      <c r="C104" s="8">
        <v>0.15</v>
      </c>
      <c r="D104" s="9">
        <v>0.35</v>
      </c>
    </row>
    <row r="105" spans="2:4" x14ac:dyDescent="0.3">
      <c r="B105" s="7">
        <v>99</v>
      </c>
      <c r="C105" s="8">
        <v>0.15</v>
      </c>
      <c r="D105" s="9">
        <v>0.35</v>
      </c>
    </row>
    <row r="106" spans="2:4" x14ac:dyDescent="0.3">
      <c r="B106" s="7">
        <v>100</v>
      </c>
      <c r="C106" s="8">
        <v>0.15</v>
      </c>
      <c r="D106" s="9">
        <v>0.35</v>
      </c>
    </row>
    <row r="107" spans="2:4" x14ac:dyDescent="0.3">
      <c r="B107" s="7" t="s">
        <v>49</v>
      </c>
      <c r="C107" s="8">
        <v>0.15</v>
      </c>
      <c r="D107" s="9">
        <v>0.35</v>
      </c>
    </row>
    <row r="108" spans="2:4" ht="12.9" thickBot="1" x14ac:dyDescent="0.35">
      <c r="B108" s="7"/>
      <c r="C108" s="12"/>
      <c r="D108" s="13"/>
    </row>
    <row r="109" spans="2:4" ht="12.9" thickTop="1" x14ac:dyDescent="0.3"/>
  </sheetData>
  <sheetProtection password="C694" sheet="1" objects="1" scenarios="1"/>
  <mergeCells count="1">
    <mergeCell ref="C4:D4"/>
  </mergeCells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lha7"/>
  <dimension ref="C1:W26"/>
  <sheetViews>
    <sheetView showGridLines="0" workbookViewId="0">
      <selection activeCell="J33" sqref="J33"/>
    </sheetView>
  </sheetViews>
  <sheetFormatPr defaultRowHeight="12.45" x14ac:dyDescent="0.3"/>
  <cols>
    <col min="1" max="1" width="1.53515625" customWidth="1"/>
    <col min="2" max="2" width="1.84375" customWidth="1"/>
    <col min="3" max="3" width="12.15234375" customWidth="1"/>
    <col min="4" max="4" width="9.15234375" style="4"/>
    <col min="5" max="5" width="10.15234375" customWidth="1"/>
    <col min="6" max="6" width="6.3046875" customWidth="1"/>
    <col min="7" max="7" width="7.53515625" customWidth="1"/>
    <col min="8" max="9" width="5.84375" customWidth="1"/>
    <col min="10" max="10" width="8.3046875" customWidth="1"/>
    <col min="11" max="11" width="14.15234375" customWidth="1"/>
    <col min="12" max="12" width="5.3046875" customWidth="1"/>
    <col min="13" max="13" width="10.3046875" customWidth="1"/>
    <col min="18" max="18" width="9.84375" customWidth="1"/>
  </cols>
  <sheetData>
    <row r="1" spans="3:23" ht="4.5" customHeight="1" x14ac:dyDescent="0.3"/>
    <row r="2" spans="3:23" ht="17.600000000000001" x14ac:dyDescent="0.4">
      <c r="C2" s="112" t="s">
        <v>25</v>
      </c>
      <c r="D2"/>
    </row>
    <row r="3" spans="3:23" ht="4.5" customHeight="1" thickBot="1" x14ac:dyDescent="0.35"/>
    <row r="4" spans="3:23" s="113" customFormat="1" ht="24.75" customHeight="1" thickTop="1" thickBot="1" x14ac:dyDescent="0.45">
      <c r="C4" s="606" t="s">
        <v>321</v>
      </c>
      <c r="D4" s="607" t="s">
        <v>320</v>
      </c>
      <c r="E4" s="608"/>
      <c r="F4" s="608"/>
      <c r="G4" s="608"/>
      <c r="H4" s="608"/>
      <c r="I4" s="608"/>
      <c r="J4" s="609"/>
      <c r="K4" s="608"/>
      <c r="L4" s="608"/>
      <c r="M4" s="608"/>
      <c r="N4" s="608"/>
      <c r="O4" s="608"/>
    </row>
    <row r="5" spans="3:23" s="113" customFormat="1" ht="10.5" customHeight="1" thickTop="1" x14ac:dyDescent="0.3"/>
    <row r="6" spans="3:23" x14ac:dyDescent="0.3">
      <c r="D6" s="1295" t="s">
        <v>307</v>
      </c>
      <c r="E6" s="1296"/>
      <c r="F6" s="577" t="s">
        <v>24</v>
      </c>
      <c r="G6" s="1295" t="s">
        <v>1</v>
      </c>
      <c r="H6" s="1297"/>
      <c r="I6" s="1298"/>
      <c r="J6" s="573" t="s">
        <v>22</v>
      </c>
      <c r="K6" s="1299" t="s">
        <v>308</v>
      </c>
      <c r="L6" s="1300"/>
      <c r="M6" s="1300"/>
      <c r="N6" s="1301"/>
    </row>
    <row r="7" spans="3:23" s="4" customFormat="1" ht="15.45" x14ac:dyDescent="0.4">
      <c r="D7" s="579"/>
      <c r="E7" s="578"/>
      <c r="F7" s="580" t="s">
        <v>23</v>
      </c>
      <c r="G7" s="1302" t="s">
        <v>309</v>
      </c>
      <c r="H7" s="1303"/>
      <c r="I7" s="1304"/>
      <c r="J7" s="581" t="s">
        <v>310</v>
      </c>
      <c r="K7" s="1305" t="s">
        <v>311</v>
      </c>
      <c r="L7" s="1306"/>
      <c r="M7" s="1305" t="s">
        <v>312</v>
      </c>
      <c r="N7" s="1306"/>
      <c r="O7"/>
      <c r="P7"/>
      <c r="Q7"/>
      <c r="R7"/>
      <c r="S7"/>
      <c r="T7"/>
      <c r="U7"/>
      <c r="V7"/>
      <c r="W7"/>
    </row>
    <row r="8" spans="3:23" s="4" customFormat="1" ht="13.5" customHeight="1" thickBot="1" x14ac:dyDescent="0.35">
      <c r="D8" s="582" t="s">
        <v>313</v>
      </c>
      <c r="E8" s="583" t="s">
        <v>314</v>
      </c>
      <c r="F8" s="580" t="s">
        <v>0</v>
      </c>
      <c r="G8" s="584" t="s">
        <v>4</v>
      </c>
      <c r="H8" s="585" t="s">
        <v>2</v>
      </c>
      <c r="I8" s="585" t="s">
        <v>3</v>
      </c>
      <c r="J8" s="568" t="s">
        <v>4</v>
      </c>
      <c r="K8" s="585" t="s">
        <v>315</v>
      </c>
      <c r="L8" s="586" t="s">
        <v>316</v>
      </c>
      <c r="M8" s="585" t="s">
        <v>315</v>
      </c>
      <c r="N8" s="586" t="s">
        <v>316</v>
      </c>
      <c r="O8"/>
      <c r="P8"/>
      <c r="Q8"/>
      <c r="R8"/>
      <c r="S8"/>
      <c r="T8"/>
      <c r="U8"/>
      <c r="V8"/>
      <c r="W8"/>
    </row>
    <row r="9" spans="3:23" s="4" customFormat="1" ht="12.9" thickTop="1" x14ac:dyDescent="0.3">
      <c r="D9" s="587">
        <v>0.375</v>
      </c>
      <c r="E9" s="588" t="s">
        <v>5</v>
      </c>
      <c r="F9" s="589">
        <v>12.6</v>
      </c>
      <c r="G9" s="590">
        <v>17.2</v>
      </c>
      <c r="H9" s="588">
        <v>17.5</v>
      </c>
      <c r="I9" s="588">
        <v>16.7</v>
      </c>
      <c r="J9" s="590">
        <v>2.2999999999999998</v>
      </c>
      <c r="K9" s="588">
        <v>0.83899999999999997</v>
      </c>
      <c r="L9" s="588">
        <v>0.84499999999999997</v>
      </c>
      <c r="M9" s="588">
        <v>0.89500000000000002</v>
      </c>
      <c r="N9" s="591">
        <v>0.90100000000000002</v>
      </c>
      <c r="O9"/>
      <c r="P9"/>
      <c r="Q9"/>
      <c r="R9"/>
      <c r="S9"/>
      <c r="T9"/>
      <c r="U9"/>
      <c r="V9"/>
      <c r="W9"/>
    </row>
    <row r="10" spans="3:23" s="4" customFormat="1" x14ac:dyDescent="0.3">
      <c r="D10" s="592">
        <v>0.5</v>
      </c>
      <c r="E10" s="593" t="s">
        <v>6</v>
      </c>
      <c r="F10" s="594">
        <v>16.100000000000001</v>
      </c>
      <c r="G10" s="595">
        <v>21.3</v>
      </c>
      <c r="H10" s="593">
        <v>21.8</v>
      </c>
      <c r="I10" s="596">
        <v>21</v>
      </c>
      <c r="J10" s="595">
        <v>2.6</v>
      </c>
      <c r="K10" s="593">
        <v>1.21</v>
      </c>
      <c r="L10" s="593">
        <v>1.22</v>
      </c>
      <c r="M10" s="593">
        <v>1.28</v>
      </c>
      <c r="N10" s="593">
        <v>1.29</v>
      </c>
      <c r="O10"/>
      <c r="P10"/>
      <c r="Q10"/>
      <c r="R10"/>
      <c r="S10"/>
      <c r="T10"/>
      <c r="U10"/>
      <c r="V10"/>
      <c r="W10"/>
    </row>
    <row r="11" spans="3:23" s="4" customFormat="1" x14ac:dyDescent="0.3">
      <c r="D11" s="592">
        <v>0.75</v>
      </c>
      <c r="E11" s="593" t="s">
        <v>7</v>
      </c>
      <c r="F11" s="594">
        <v>21.7</v>
      </c>
      <c r="G11" s="595">
        <v>26.9</v>
      </c>
      <c r="H11" s="593">
        <v>27.3</v>
      </c>
      <c r="I11" s="593">
        <v>26.5</v>
      </c>
      <c r="J11" s="595">
        <v>2.6</v>
      </c>
      <c r="K11" s="593">
        <v>1.56</v>
      </c>
      <c r="L11" s="593">
        <v>1.57</v>
      </c>
      <c r="M11" s="593">
        <v>1.66</v>
      </c>
      <c r="N11" s="593">
        <v>1.67</v>
      </c>
      <c r="O11"/>
      <c r="P11"/>
      <c r="Q11"/>
      <c r="R11"/>
      <c r="S11"/>
      <c r="T11"/>
      <c r="U11"/>
      <c r="V11"/>
      <c r="W11"/>
    </row>
    <row r="12" spans="3:23" s="4" customFormat="1" ht="18" customHeight="1" x14ac:dyDescent="0.3">
      <c r="D12" s="592">
        <v>1</v>
      </c>
      <c r="E12" s="593" t="s">
        <v>8</v>
      </c>
      <c r="F12" s="594">
        <v>27.3</v>
      </c>
      <c r="G12" s="595">
        <v>33.700000000000003</v>
      </c>
      <c r="H12" s="593">
        <v>34.200000000000003</v>
      </c>
      <c r="I12" s="593">
        <v>33.299999999999997</v>
      </c>
      <c r="J12" s="595">
        <v>3.2</v>
      </c>
      <c r="K12" s="593">
        <v>2.41</v>
      </c>
      <c r="L12" s="593">
        <v>2.4300000000000002</v>
      </c>
      <c r="M12" s="593">
        <v>2.56</v>
      </c>
      <c r="N12" s="593">
        <v>2.58</v>
      </c>
      <c r="O12"/>
      <c r="P12"/>
      <c r="Q12"/>
      <c r="R12"/>
      <c r="S12"/>
      <c r="T12"/>
      <c r="U12"/>
      <c r="V12"/>
      <c r="W12"/>
    </row>
    <row r="13" spans="3:23" s="4" customFormat="1" x14ac:dyDescent="0.3">
      <c r="D13" s="592">
        <v>1.25</v>
      </c>
      <c r="E13" s="593" t="s">
        <v>9</v>
      </c>
      <c r="F13" s="597">
        <v>36</v>
      </c>
      <c r="G13" s="595">
        <v>42.4</v>
      </c>
      <c r="H13" s="593">
        <v>42.9</v>
      </c>
      <c r="I13" s="596">
        <v>42</v>
      </c>
      <c r="J13" s="595">
        <v>3.2</v>
      </c>
      <c r="K13" s="598">
        <v>3.1</v>
      </c>
      <c r="L13" s="593">
        <v>3.13</v>
      </c>
      <c r="M13" s="598">
        <v>3.3</v>
      </c>
      <c r="N13" s="593">
        <v>3.33</v>
      </c>
      <c r="O13"/>
      <c r="P13"/>
      <c r="Q13"/>
      <c r="R13"/>
      <c r="S13"/>
      <c r="T13"/>
      <c r="U13"/>
      <c r="V13"/>
      <c r="W13"/>
    </row>
    <row r="14" spans="3:23" s="4" customFormat="1" x14ac:dyDescent="0.3">
      <c r="D14" s="592">
        <v>1.5</v>
      </c>
      <c r="E14" s="593" t="s">
        <v>10</v>
      </c>
      <c r="F14" s="594">
        <v>41.9</v>
      </c>
      <c r="G14" s="595">
        <v>48.3</v>
      </c>
      <c r="H14" s="593">
        <v>48.8</v>
      </c>
      <c r="I14" s="596">
        <v>47.9</v>
      </c>
      <c r="J14" s="595">
        <v>3.2</v>
      </c>
      <c r="K14" s="593">
        <v>3.56</v>
      </c>
      <c r="L14" s="598">
        <v>3.6</v>
      </c>
      <c r="M14" s="593">
        <v>3.79</v>
      </c>
      <c r="N14" s="593">
        <v>3.83</v>
      </c>
      <c r="O14"/>
      <c r="P14"/>
      <c r="Q14"/>
      <c r="R14"/>
      <c r="S14"/>
      <c r="T14"/>
      <c r="U14"/>
      <c r="V14"/>
      <c r="W14"/>
    </row>
    <row r="15" spans="3:23" s="4" customFormat="1" ht="18.75" customHeight="1" x14ac:dyDescent="0.3">
      <c r="D15" s="592">
        <v>2</v>
      </c>
      <c r="E15" s="593" t="s">
        <v>11</v>
      </c>
      <c r="F15" s="594">
        <v>53.1</v>
      </c>
      <c r="G15" s="595">
        <v>60.3</v>
      </c>
      <c r="H15" s="593">
        <v>60.8</v>
      </c>
      <c r="I15" s="593">
        <v>59.7</v>
      </c>
      <c r="J15" s="595">
        <v>3.6</v>
      </c>
      <c r="K15" s="598">
        <v>5.03</v>
      </c>
      <c r="L15" s="598">
        <v>5.0999999999999996</v>
      </c>
      <c r="M15" s="593">
        <v>5.36</v>
      </c>
      <c r="N15" s="593">
        <v>5.43</v>
      </c>
      <c r="O15"/>
      <c r="P15"/>
      <c r="Q15"/>
      <c r="R15"/>
      <c r="S15"/>
      <c r="T15"/>
      <c r="U15"/>
      <c r="V15"/>
      <c r="W15"/>
    </row>
    <row r="16" spans="3:23" s="4" customFormat="1" x14ac:dyDescent="0.3">
      <c r="D16" s="592">
        <v>2.5</v>
      </c>
      <c r="E16" s="593" t="s">
        <v>12</v>
      </c>
      <c r="F16" s="594">
        <v>68.900000000000006</v>
      </c>
      <c r="G16" s="595">
        <v>76.099999999999994</v>
      </c>
      <c r="H16" s="593">
        <v>76.599999999999994</v>
      </c>
      <c r="I16" s="593">
        <v>75.3</v>
      </c>
      <c r="J16" s="595">
        <v>3.6</v>
      </c>
      <c r="K16" s="593">
        <v>6.42</v>
      </c>
      <c r="L16" s="593">
        <v>6.54</v>
      </c>
      <c r="M16" s="593">
        <v>6.84</v>
      </c>
      <c r="N16" s="593">
        <v>6.96</v>
      </c>
      <c r="O16"/>
      <c r="P16"/>
      <c r="Q16"/>
      <c r="R16"/>
      <c r="S16"/>
      <c r="T16"/>
      <c r="U16"/>
      <c r="V16"/>
      <c r="W16"/>
    </row>
    <row r="17" spans="4:23" s="4" customFormat="1" x14ac:dyDescent="0.3">
      <c r="D17" s="592">
        <v>3</v>
      </c>
      <c r="E17" s="593" t="s">
        <v>13</v>
      </c>
      <c r="F17" s="594">
        <v>80.900000000000006</v>
      </c>
      <c r="G17" s="595">
        <v>88.9</v>
      </c>
      <c r="H17" s="593">
        <v>89.5</v>
      </c>
      <c r="I17" s="596">
        <v>88</v>
      </c>
      <c r="J17" s="599">
        <v>4</v>
      </c>
      <c r="K17" s="593">
        <v>8.36</v>
      </c>
      <c r="L17" s="593">
        <v>8.5299999999999994</v>
      </c>
      <c r="M17" s="593">
        <v>8.89</v>
      </c>
      <c r="N17" s="593">
        <v>9.06</v>
      </c>
      <c r="O17"/>
      <c r="P17"/>
      <c r="Q17"/>
      <c r="R17"/>
      <c r="S17"/>
      <c r="T17"/>
      <c r="U17"/>
      <c r="V17"/>
      <c r="W17"/>
    </row>
    <row r="18" spans="4:23" s="4" customFormat="1" x14ac:dyDescent="0.3">
      <c r="D18" s="592">
        <v>4</v>
      </c>
      <c r="E18" s="593" t="s">
        <v>14</v>
      </c>
      <c r="F18" s="594">
        <v>105.3</v>
      </c>
      <c r="G18" s="595">
        <v>114.3</v>
      </c>
      <c r="H18" s="596">
        <v>115</v>
      </c>
      <c r="I18" s="593">
        <v>113.1</v>
      </c>
      <c r="J18" s="595">
        <v>4.5</v>
      </c>
      <c r="K18" s="593">
        <v>12.2</v>
      </c>
      <c r="L18" s="593">
        <v>12.5</v>
      </c>
      <c r="M18" s="598">
        <v>12.7</v>
      </c>
      <c r="N18" s="598">
        <v>13</v>
      </c>
      <c r="O18"/>
      <c r="P18"/>
      <c r="Q18"/>
      <c r="R18"/>
      <c r="S18"/>
      <c r="T18"/>
      <c r="U18"/>
      <c r="V18"/>
      <c r="W18"/>
    </row>
    <row r="19" spans="4:23" s="4" customFormat="1" ht="18" customHeight="1" x14ac:dyDescent="0.3">
      <c r="D19" s="592">
        <v>5</v>
      </c>
      <c r="E19" s="593" t="s">
        <v>15</v>
      </c>
      <c r="F19" s="594">
        <v>129.69999999999999</v>
      </c>
      <c r="G19" s="595">
        <v>139.69999999999999</v>
      </c>
      <c r="H19" s="593">
        <v>140.80000000000001</v>
      </c>
      <c r="I19" s="593">
        <v>138.5</v>
      </c>
      <c r="J19" s="599">
        <v>5</v>
      </c>
      <c r="K19" s="593">
        <v>16.600000000000001</v>
      </c>
      <c r="L19" s="593">
        <v>17.100000000000001</v>
      </c>
      <c r="M19" s="593">
        <v>17.05</v>
      </c>
      <c r="N19" s="593">
        <v>17.55</v>
      </c>
      <c r="O19"/>
      <c r="P19"/>
      <c r="Q19"/>
      <c r="R19"/>
      <c r="S19"/>
      <c r="T19"/>
      <c r="U19"/>
      <c r="V19"/>
      <c r="W19"/>
    </row>
    <row r="20" spans="4:23" s="4" customFormat="1" ht="12.9" thickBot="1" x14ac:dyDescent="0.35">
      <c r="D20" s="600">
        <v>6</v>
      </c>
      <c r="E20" s="601" t="s">
        <v>16</v>
      </c>
      <c r="F20" s="602">
        <v>155.1</v>
      </c>
      <c r="G20" s="603">
        <v>165.1</v>
      </c>
      <c r="H20" s="601">
        <v>166.5</v>
      </c>
      <c r="I20" s="601">
        <v>163.9</v>
      </c>
      <c r="J20" s="604">
        <v>5</v>
      </c>
      <c r="K20" s="601">
        <v>19.8</v>
      </c>
      <c r="L20" s="601">
        <v>20.399999999999999</v>
      </c>
      <c r="M20" s="601">
        <v>20.27</v>
      </c>
      <c r="N20" s="601">
        <v>20.87</v>
      </c>
      <c r="O20"/>
      <c r="P20"/>
      <c r="Q20"/>
      <c r="R20"/>
      <c r="S20"/>
      <c r="T20"/>
      <c r="U20"/>
      <c r="V20"/>
      <c r="W20"/>
    </row>
    <row r="21" spans="4:23" s="4" customFormat="1" ht="12.9" thickTop="1" x14ac:dyDescent="0.3">
      <c r="D21" s="587">
        <v>8</v>
      </c>
      <c r="E21" s="588" t="s">
        <v>317</v>
      </c>
      <c r="F21" s="589">
        <v>206.5</v>
      </c>
      <c r="G21" s="590">
        <v>219.1</v>
      </c>
      <c r="H21" s="588">
        <v>221.3</v>
      </c>
      <c r="I21" s="588">
        <v>216.9</v>
      </c>
      <c r="J21" s="590">
        <v>6.3</v>
      </c>
      <c r="K21" s="605">
        <v>33.1</v>
      </c>
      <c r="L21" s="588"/>
      <c r="M21" s="588"/>
      <c r="N21" s="588"/>
      <c r="O21"/>
      <c r="P21"/>
      <c r="Q21"/>
      <c r="R21"/>
      <c r="S21"/>
      <c r="T21"/>
      <c r="U21"/>
      <c r="V21"/>
      <c r="W21"/>
    </row>
    <row r="22" spans="4:23" x14ac:dyDescent="0.3">
      <c r="D22" s="592">
        <v>10</v>
      </c>
      <c r="E22" s="593" t="s">
        <v>318</v>
      </c>
      <c r="F22" s="597">
        <v>260.39999999999998</v>
      </c>
      <c r="G22" s="599">
        <v>273</v>
      </c>
      <c r="H22" s="596">
        <v>275</v>
      </c>
      <c r="I22" s="596">
        <v>271</v>
      </c>
      <c r="J22" s="599">
        <v>6.3</v>
      </c>
      <c r="K22" s="593">
        <v>41.4</v>
      </c>
      <c r="L22" s="593"/>
      <c r="M22" s="598"/>
      <c r="N22" s="593"/>
    </row>
    <row r="23" spans="4:23" x14ac:dyDescent="0.3">
      <c r="D23" s="592">
        <v>12</v>
      </c>
      <c r="E23" s="593" t="s">
        <v>319</v>
      </c>
      <c r="F23" s="594">
        <v>311.3</v>
      </c>
      <c r="G23" s="595">
        <v>323.89999999999998</v>
      </c>
      <c r="H23" s="593">
        <v>326.3</v>
      </c>
      <c r="I23" s="593">
        <v>321.5</v>
      </c>
      <c r="J23" s="595">
        <v>6.3</v>
      </c>
      <c r="K23" s="593">
        <v>49.3</v>
      </c>
      <c r="L23" s="593"/>
      <c r="M23" s="593"/>
      <c r="N23" s="593"/>
    </row>
    <row r="24" spans="4:23" x14ac:dyDescent="0.3">
      <c r="D24" s="592"/>
      <c r="E24" s="593"/>
      <c r="F24" s="594"/>
      <c r="G24" s="595"/>
      <c r="H24" s="593"/>
      <c r="I24" s="593"/>
      <c r="J24" s="595"/>
      <c r="K24" s="593"/>
      <c r="L24" s="598"/>
      <c r="M24" s="593"/>
      <c r="N24" s="593"/>
    </row>
    <row r="25" spans="4:23" x14ac:dyDescent="0.3">
      <c r="D25" s="592"/>
      <c r="E25" s="593"/>
      <c r="F25" s="597"/>
      <c r="G25" s="595"/>
      <c r="H25" s="593"/>
      <c r="I25" s="593"/>
      <c r="J25" s="595"/>
      <c r="K25" s="593"/>
      <c r="L25" s="593"/>
      <c r="M25" s="598"/>
      <c r="N25" s="593"/>
    </row>
    <row r="26" spans="4:23" x14ac:dyDescent="0.3">
      <c r="D26" s="592"/>
      <c r="E26" s="593"/>
      <c r="F26" s="594"/>
      <c r="G26" s="595"/>
      <c r="H26" s="593"/>
      <c r="I26" s="596"/>
      <c r="J26" s="595"/>
      <c r="K26" s="593"/>
      <c r="L26" s="593"/>
      <c r="M26" s="593"/>
      <c r="N26" s="593"/>
    </row>
  </sheetData>
  <mergeCells count="6">
    <mergeCell ref="D6:E6"/>
    <mergeCell ref="G6:I6"/>
    <mergeCell ref="K6:N6"/>
    <mergeCell ref="G7:I7"/>
    <mergeCell ref="K7:L7"/>
    <mergeCell ref="M7:N7"/>
  </mergeCells>
  <phoneticPr fontId="0" type="noConversion"/>
  <pageMargins left="0.63" right="0.47" top="1" bottom="1" header="0.5" footer="0.5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6</vt:i4>
      </vt:variant>
    </vt:vector>
  </HeadingPairs>
  <TitlesOfParts>
    <vt:vector size="15" baseType="lpstr">
      <vt:lpstr>Cálculo-Instalação Colectiva-MP</vt:lpstr>
      <vt:lpstr>Cálculo-Instalação Interior-BP</vt:lpstr>
      <vt:lpstr>Quadros 0 , 1 , 2 , 3 e 4</vt:lpstr>
      <vt:lpstr>Instruções</vt:lpstr>
      <vt:lpstr>Procedimento-MP</vt:lpstr>
      <vt:lpstr>Procedimento-BP</vt:lpstr>
      <vt:lpstr>Conv. Pressões</vt:lpstr>
      <vt:lpstr>Quadro 2 Ordenado</vt:lpstr>
      <vt:lpstr>Quadro 3</vt:lpstr>
      <vt:lpstr>'Cálculo-Instalação Colectiva-MP'!Área_de_Impressão</vt:lpstr>
      <vt:lpstr>'Cálculo-Instalação Interior-BP'!Área_de_Impressão</vt:lpstr>
      <vt:lpstr>Instruções!Área_de_Impressão</vt:lpstr>
      <vt:lpstr>'Procedimento-BP'!Área_de_Impressão</vt:lpstr>
      <vt:lpstr>'Procedimento-MP'!Área_de_Impressão</vt:lpstr>
      <vt:lpstr>'Quadros 0 , 1 , 2 , 3 e 4'!Área_de_Impressão</vt:lpstr>
    </vt:vector>
  </TitlesOfParts>
  <Company>APTA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Gomes</dc:creator>
  <cp:lastModifiedBy>paulo gomes</cp:lastModifiedBy>
  <cp:lastPrinted>2024-02-06T11:07:54Z</cp:lastPrinted>
  <dcterms:created xsi:type="dcterms:W3CDTF">1998-06-25T13:20:52Z</dcterms:created>
  <dcterms:modified xsi:type="dcterms:W3CDTF">2024-02-06T11:08:03Z</dcterms:modified>
</cp:coreProperties>
</file>